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32" windowWidth="7260" windowHeight="5508"/>
  </bookViews>
  <sheets>
    <sheet name="Sheet 1" sheetId="2" r:id="rId1"/>
  </sheets>
  <definedNames>
    <definedName name="allraw" localSheetId="0">'Sheet 1'!$E$42:$I$61,'Sheet 1'!$E$73:$I$92</definedName>
    <definedName name="allraw">#REF!,#REF!</definedName>
  </definedNames>
  <calcPr calcId="145621"/>
</workbook>
</file>

<file path=xl/calcChain.xml><?xml version="1.0" encoding="utf-8"?>
<calcChain xmlns="http://schemas.openxmlformats.org/spreadsheetml/2006/main">
  <c r="R215" i="2" l="1"/>
  <c r="B215" i="2"/>
  <c r="Y191" i="2"/>
  <c r="R191" i="2"/>
  <c r="I191" i="2"/>
  <c r="B191" i="2"/>
  <c r="Y166" i="2"/>
  <c r="R166" i="2"/>
  <c r="Y141" i="2"/>
  <c r="R141" i="2"/>
  <c r="I141" i="2"/>
  <c r="B141" i="2"/>
  <c r="AA277" i="2" l="1"/>
  <c r="AF276" i="2"/>
  <c r="AF277" i="2" s="1"/>
  <c r="AA276" i="2"/>
  <c r="AE276" i="2" s="1"/>
  <c r="AE277" i="2" s="1"/>
  <c r="Y276" i="2"/>
  <c r="AF271" i="2"/>
  <c r="AF270" i="2"/>
  <c r="AF273" i="2" s="1"/>
  <c r="AE271" i="2"/>
  <c r="AE270" i="2"/>
  <c r="AE273" i="2" s="1"/>
  <c r="AA271" i="2"/>
  <c r="AA270" i="2"/>
  <c r="AA273" i="2" s="1"/>
  <c r="Y271" i="2"/>
  <c r="Y270" i="2"/>
  <c r="K29" i="2"/>
  <c r="J29" i="2"/>
  <c r="J28" i="2"/>
  <c r="K28" i="2"/>
  <c r="K27" i="2"/>
  <c r="J27" i="2"/>
  <c r="D31" i="2"/>
  <c r="D30" i="2"/>
  <c r="O133" i="2"/>
  <c r="O134" i="2"/>
  <c r="Z164" i="2"/>
  <c r="Z159" i="2"/>
  <c r="S164" i="2"/>
  <c r="S159" i="2"/>
  <c r="X73" i="2"/>
  <c r="W73" i="2"/>
  <c r="AD73" i="2"/>
  <c r="X74" i="2"/>
  <c r="X94" i="2"/>
  <c r="W74" i="2"/>
  <c r="X75" i="2"/>
  <c r="W75" i="2"/>
  <c r="W93" i="2"/>
  <c r="W98" i="2"/>
  <c r="W25" i="2"/>
  <c r="X76" i="2"/>
  <c r="AD76" i="2"/>
  <c r="W76" i="2"/>
  <c r="X77" i="2"/>
  <c r="W77" i="2"/>
  <c r="X78" i="2"/>
  <c r="AC78" i="2"/>
  <c r="W78" i="2"/>
  <c r="X79" i="2"/>
  <c r="W79" i="2"/>
  <c r="X80" i="2"/>
  <c r="W80" i="2"/>
  <c r="AB80" i="2"/>
  <c r="X81" i="2"/>
  <c r="W81" i="2"/>
  <c r="X82" i="2"/>
  <c r="AC82" i="2"/>
  <c r="W82" i="2"/>
  <c r="AB82" i="2"/>
  <c r="X83" i="2"/>
  <c r="W83" i="2"/>
  <c r="X84" i="2"/>
  <c r="AC84" i="2"/>
  <c r="W84" i="2"/>
  <c r="X85" i="2"/>
  <c r="W85" i="2"/>
  <c r="X86" i="2"/>
  <c r="AC86" i="2"/>
  <c r="W86" i="2"/>
  <c r="AB86" i="2"/>
  <c r="X87" i="2"/>
  <c r="W87" i="2"/>
  <c r="X88" i="2"/>
  <c r="AC88" i="2"/>
  <c r="AD88" i="2"/>
  <c r="W88" i="2"/>
  <c r="X89" i="2"/>
  <c r="W89" i="2"/>
  <c r="X90" i="2"/>
  <c r="AC90" i="2"/>
  <c r="W90" i="2"/>
  <c r="X91" i="2"/>
  <c r="W91" i="2"/>
  <c r="X92" i="2"/>
  <c r="AC92" i="2"/>
  <c r="W92" i="2"/>
  <c r="AB92" i="2"/>
  <c r="X42" i="2"/>
  <c r="W42" i="2"/>
  <c r="X43" i="2"/>
  <c r="AC43" i="2"/>
  <c r="W43" i="2"/>
  <c r="X44" i="2"/>
  <c r="W44" i="2"/>
  <c r="W63" i="2"/>
  <c r="X45" i="2"/>
  <c r="AC45" i="2"/>
  <c r="W45" i="2"/>
  <c r="X46" i="2"/>
  <c r="AC46" i="2"/>
  <c r="W46" i="2"/>
  <c r="X47" i="2"/>
  <c r="W47" i="2"/>
  <c r="X48" i="2"/>
  <c r="W48" i="2"/>
  <c r="X49" i="2"/>
  <c r="AC49" i="2"/>
  <c r="W49" i="2"/>
  <c r="X50" i="2"/>
  <c r="W50" i="2"/>
  <c r="AB50" i="2"/>
  <c r="X51" i="2"/>
  <c r="AC51" i="2"/>
  <c r="W51" i="2"/>
  <c r="X52" i="2"/>
  <c r="W52" i="2"/>
  <c r="X53" i="2"/>
  <c r="W53" i="2"/>
  <c r="AD53" i="2"/>
  <c r="X54" i="2"/>
  <c r="W54" i="2"/>
  <c r="X55" i="2"/>
  <c r="AD55" i="2"/>
  <c r="W55" i="2"/>
  <c r="X56" i="2"/>
  <c r="W56" i="2"/>
  <c r="X57" i="2"/>
  <c r="AD57" i="2"/>
  <c r="W57" i="2"/>
  <c r="X58" i="2"/>
  <c r="AC58" i="2"/>
  <c r="W58" i="2"/>
  <c r="X59" i="2"/>
  <c r="W59" i="2"/>
  <c r="X60" i="2"/>
  <c r="AC60" i="2"/>
  <c r="W60" i="2"/>
  <c r="AB60" i="2"/>
  <c r="X61" i="2"/>
  <c r="AD61" i="2"/>
  <c r="W61" i="2"/>
  <c r="V73" i="2"/>
  <c r="V97" i="2"/>
  <c r="V106" i="2"/>
  <c r="AC73" i="2"/>
  <c r="V74" i="2"/>
  <c r="V75" i="2"/>
  <c r="AC75" i="2"/>
  <c r="V76" i="2"/>
  <c r="AA76" i="2"/>
  <c r="V77" i="2"/>
  <c r="V78" i="2"/>
  <c r="V79" i="2"/>
  <c r="V80" i="2"/>
  <c r="V81" i="2"/>
  <c r="AC81" i="2"/>
  <c r="V82" i="2"/>
  <c r="V83" i="2"/>
  <c r="AC83" i="2"/>
  <c r="V84" i="2"/>
  <c r="V85" i="2"/>
  <c r="AC85" i="2"/>
  <c r="V86" i="2"/>
  <c r="V87" i="2"/>
  <c r="AC87" i="2"/>
  <c r="V88" i="2"/>
  <c r="V89" i="2"/>
  <c r="AC89" i="2"/>
  <c r="V90" i="2"/>
  <c r="AA90" i="2"/>
  <c r="V91" i="2"/>
  <c r="V92" i="2"/>
  <c r="V42" i="2"/>
  <c r="V43" i="2"/>
  <c r="V44" i="2"/>
  <c r="AB44" i="2"/>
  <c r="V45" i="2"/>
  <c r="AA45" i="2"/>
  <c r="V46" i="2"/>
  <c r="AB46" i="2"/>
  <c r="V47" i="2"/>
  <c r="AA47" i="2"/>
  <c r="V48" i="2"/>
  <c r="AB48" i="2"/>
  <c r="V49" i="2"/>
  <c r="V50" i="2"/>
  <c r="AC50" i="2"/>
  <c r="V51" i="2"/>
  <c r="AA51" i="2"/>
  <c r="V52" i="2"/>
  <c r="AB52" i="2"/>
  <c r="V53" i="2"/>
  <c r="AA53" i="2"/>
  <c r="V54" i="2"/>
  <c r="AC54" i="2"/>
  <c r="V55" i="2"/>
  <c r="V56" i="2"/>
  <c r="AA56" i="2"/>
  <c r="AC56" i="2"/>
  <c r="V57" i="2"/>
  <c r="V58" i="2"/>
  <c r="V59" i="2"/>
  <c r="V60" i="2"/>
  <c r="AA60" i="2"/>
  <c r="V61" i="2"/>
  <c r="AB61" i="2"/>
  <c r="AB73" i="2"/>
  <c r="AB78" i="2"/>
  <c r="AB43" i="2"/>
  <c r="U73" i="2"/>
  <c r="U94" i="2"/>
  <c r="AA73" i="2"/>
  <c r="U74" i="2"/>
  <c r="AA74" i="2"/>
  <c r="U75" i="2"/>
  <c r="AA75" i="2"/>
  <c r="U76" i="2"/>
  <c r="U77" i="2"/>
  <c r="AA77" i="2"/>
  <c r="U78" i="2"/>
  <c r="AA78" i="2"/>
  <c r="U79" i="2"/>
  <c r="AA79" i="2"/>
  <c r="U80" i="2"/>
  <c r="AA80" i="2"/>
  <c r="U81" i="2"/>
  <c r="AA81" i="2"/>
  <c r="U82" i="2"/>
  <c r="AA82" i="2"/>
  <c r="U83" i="2"/>
  <c r="AA83" i="2"/>
  <c r="U84" i="2"/>
  <c r="AA84" i="2"/>
  <c r="U85" i="2"/>
  <c r="AA85" i="2"/>
  <c r="U86" i="2"/>
  <c r="AA86" i="2"/>
  <c r="U87" i="2"/>
  <c r="AA87" i="2"/>
  <c r="U88" i="2"/>
  <c r="AA88" i="2"/>
  <c r="U89" i="2"/>
  <c r="AA89" i="2"/>
  <c r="U90" i="2"/>
  <c r="U91" i="2"/>
  <c r="AA91" i="2"/>
  <c r="U92" i="2"/>
  <c r="AA92" i="2"/>
  <c r="U42" i="2"/>
  <c r="U65" i="2"/>
  <c r="AA42" i="2"/>
  <c r="U43" i="2"/>
  <c r="AA43" i="2"/>
  <c r="U44" i="2"/>
  <c r="AA44" i="2"/>
  <c r="U45" i="2"/>
  <c r="U46" i="2"/>
  <c r="AA46" i="2"/>
  <c r="U47" i="2"/>
  <c r="U48" i="2"/>
  <c r="AA48" i="2"/>
  <c r="U49" i="2"/>
  <c r="AA49" i="2"/>
  <c r="U50" i="2"/>
  <c r="AA50" i="2"/>
  <c r="U51" i="2"/>
  <c r="U52" i="2"/>
  <c r="AA52" i="2"/>
  <c r="U53" i="2"/>
  <c r="U54" i="2"/>
  <c r="U55" i="2"/>
  <c r="AA55" i="2"/>
  <c r="U56" i="2"/>
  <c r="U62" i="2"/>
  <c r="U67" i="2"/>
  <c r="U20" i="2"/>
  <c r="U57" i="2"/>
  <c r="AA57" i="2"/>
  <c r="U58" i="2"/>
  <c r="AA58" i="2"/>
  <c r="U59" i="2"/>
  <c r="AA59" i="2"/>
  <c r="U60" i="2"/>
  <c r="U61" i="2"/>
  <c r="AA61" i="2"/>
  <c r="V184" i="2"/>
  <c r="U96" i="2"/>
  <c r="U184" i="2"/>
  <c r="V183" i="2"/>
  <c r="U183" i="2"/>
  <c r="F63" i="2"/>
  <c r="F94" i="2"/>
  <c r="F66" i="2"/>
  <c r="F65" i="2"/>
  <c r="F97" i="2"/>
  <c r="F96" i="2"/>
  <c r="E63" i="2"/>
  <c r="E94" i="2"/>
  <c r="U14" i="2"/>
  <c r="E66" i="2"/>
  <c r="E65" i="2"/>
  <c r="E97" i="2"/>
  <c r="E106" i="2"/>
  <c r="E96" i="2"/>
  <c r="D63" i="2"/>
  <c r="D94" i="2"/>
  <c r="D66" i="2"/>
  <c r="D106" i="2"/>
  <c r="D65" i="2"/>
  <c r="D97" i="2"/>
  <c r="O93" i="2"/>
  <c r="O62" i="2"/>
  <c r="O63" i="2"/>
  <c r="O64" i="2"/>
  <c r="O94" i="2"/>
  <c r="O95" i="2"/>
  <c r="O65" i="2"/>
  <c r="O96" i="2"/>
  <c r="N73" i="2"/>
  <c r="N74" i="2"/>
  <c r="N75" i="2"/>
  <c r="N76" i="2"/>
  <c r="N77" i="2"/>
  <c r="N78" i="2"/>
  <c r="N79" i="2"/>
  <c r="N80" i="2"/>
  <c r="N81" i="2"/>
  <c r="N82" i="2"/>
  <c r="N83" i="2"/>
  <c r="N84" i="2"/>
  <c r="N85" i="2"/>
  <c r="N86" i="2"/>
  <c r="N87" i="2"/>
  <c r="N88" i="2"/>
  <c r="N89" i="2"/>
  <c r="N90" i="2"/>
  <c r="N91" i="2"/>
  <c r="N92" i="2"/>
  <c r="N42" i="2"/>
  <c r="N43" i="2"/>
  <c r="N107" i="2"/>
  <c r="N44" i="2"/>
  <c r="N45" i="2"/>
  <c r="N46" i="2"/>
  <c r="N47" i="2"/>
  <c r="N48" i="2"/>
  <c r="N49" i="2"/>
  <c r="N50" i="2"/>
  <c r="N51" i="2"/>
  <c r="N52" i="2"/>
  <c r="N53" i="2"/>
  <c r="N54" i="2"/>
  <c r="N55" i="2"/>
  <c r="N56" i="2"/>
  <c r="N57" i="2"/>
  <c r="N58" i="2"/>
  <c r="N59" i="2"/>
  <c r="N60" i="2"/>
  <c r="N61" i="2"/>
  <c r="M73" i="2"/>
  <c r="M74" i="2"/>
  <c r="M75" i="2"/>
  <c r="M76" i="2"/>
  <c r="M77" i="2"/>
  <c r="M78" i="2"/>
  <c r="M79" i="2"/>
  <c r="M80" i="2"/>
  <c r="M81" i="2"/>
  <c r="M82" i="2"/>
  <c r="M83" i="2"/>
  <c r="M84" i="2"/>
  <c r="M85" i="2"/>
  <c r="M86" i="2"/>
  <c r="M87" i="2"/>
  <c r="M88" i="2"/>
  <c r="M89" i="2"/>
  <c r="M90" i="2"/>
  <c r="M91" i="2"/>
  <c r="M92" i="2"/>
  <c r="M42" i="2"/>
  <c r="M43" i="2"/>
  <c r="M107" i="2"/>
  <c r="M44" i="2"/>
  <c r="M45" i="2"/>
  <c r="M46" i="2"/>
  <c r="M47" i="2"/>
  <c r="M48" i="2"/>
  <c r="M49" i="2"/>
  <c r="M50" i="2"/>
  <c r="M51" i="2"/>
  <c r="M52" i="2"/>
  <c r="M53" i="2"/>
  <c r="M54" i="2"/>
  <c r="M55" i="2"/>
  <c r="M56" i="2"/>
  <c r="M57" i="2"/>
  <c r="M58" i="2"/>
  <c r="M59" i="2"/>
  <c r="M60" i="2"/>
  <c r="M61" i="2"/>
  <c r="L73" i="2"/>
  <c r="L74" i="2"/>
  <c r="L75" i="2"/>
  <c r="L76" i="2"/>
  <c r="L77" i="2"/>
  <c r="L78" i="2"/>
  <c r="L79" i="2"/>
  <c r="L80" i="2"/>
  <c r="L81" i="2"/>
  <c r="L82" i="2"/>
  <c r="L83" i="2"/>
  <c r="L84" i="2"/>
  <c r="L85" i="2"/>
  <c r="L86" i="2"/>
  <c r="L87" i="2"/>
  <c r="L88" i="2"/>
  <c r="L89" i="2"/>
  <c r="L90" i="2"/>
  <c r="L91" i="2"/>
  <c r="L92" i="2"/>
  <c r="L42" i="2"/>
  <c r="L43" i="2"/>
  <c r="L106" i="2"/>
  <c r="L44" i="2"/>
  <c r="L45" i="2"/>
  <c r="L46" i="2"/>
  <c r="L47" i="2"/>
  <c r="L48" i="2"/>
  <c r="L49" i="2"/>
  <c r="L50" i="2"/>
  <c r="L51" i="2"/>
  <c r="L52" i="2"/>
  <c r="L53" i="2"/>
  <c r="L54" i="2"/>
  <c r="L55" i="2"/>
  <c r="L56" i="2"/>
  <c r="L57" i="2"/>
  <c r="L58" i="2"/>
  <c r="L59" i="2"/>
  <c r="L60" i="2"/>
  <c r="L61" i="2"/>
  <c r="K73" i="2"/>
  <c r="K74" i="2"/>
  <c r="K93" i="2"/>
  <c r="K75" i="2"/>
  <c r="K76" i="2"/>
  <c r="K77" i="2"/>
  <c r="K78" i="2"/>
  <c r="K79" i="2"/>
  <c r="K80" i="2"/>
  <c r="K81" i="2"/>
  <c r="K82" i="2"/>
  <c r="K83" i="2"/>
  <c r="K84" i="2"/>
  <c r="K85" i="2"/>
  <c r="K86" i="2"/>
  <c r="K87" i="2"/>
  <c r="K88" i="2"/>
  <c r="K89" i="2"/>
  <c r="K90" i="2"/>
  <c r="K91" i="2"/>
  <c r="K92" i="2"/>
  <c r="K42" i="2"/>
  <c r="K43" i="2"/>
  <c r="K107" i="2"/>
  <c r="K44" i="2"/>
  <c r="K45" i="2"/>
  <c r="K46" i="2"/>
  <c r="K47" i="2"/>
  <c r="K48" i="2"/>
  <c r="K49" i="2"/>
  <c r="K50" i="2"/>
  <c r="K51" i="2"/>
  <c r="K52" i="2"/>
  <c r="K53" i="2"/>
  <c r="K54" i="2"/>
  <c r="K55" i="2"/>
  <c r="K56" i="2"/>
  <c r="K57" i="2"/>
  <c r="K58" i="2"/>
  <c r="K59" i="2"/>
  <c r="K60" i="2"/>
  <c r="K61" i="2"/>
  <c r="F95" i="2"/>
  <c r="F62" i="2"/>
  <c r="V7" i="2"/>
  <c r="F93" i="2"/>
  <c r="F117" i="2"/>
  <c r="F129" i="2"/>
  <c r="F184" i="2"/>
  <c r="E95" i="2"/>
  <c r="E62" i="2"/>
  <c r="E93" i="2"/>
  <c r="U12" i="2"/>
  <c r="E184" i="2"/>
  <c r="D62" i="2"/>
  <c r="D93" i="2"/>
  <c r="D117" i="2"/>
  <c r="D129" i="2"/>
  <c r="F183" i="2"/>
  <c r="E183" i="2"/>
  <c r="D28" i="2"/>
  <c r="AE134" i="2"/>
  <c r="AC134" i="2"/>
  <c r="AB134" i="2"/>
  <c r="U134" i="2"/>
  <c r="U139" i="2"/>
  <c r="U140" i="2"/>
  <c r="D27" i="2"/>
  <c r="N134" i="2"/>
  <c r="M134" i="2"/>
  <c r="L134" i="2"/>
  <c r="K134" i="2"/>
  <c r="F134" i="2"/>
  <c r="E134" i="2"/>
  <c r="AD133" i="2"/>
  <c r="AC133" i="2"/>
  <c r="V133" i="2"/>
  <c r="V135" i="2"/>
  <c r="U133" i="2"/>
  <c r="N133" i="2"/>
  <c r="M133" i="2"/>
  <c r="L133" i="2"/>
  <c r="K133" i="2"/>
  <c r="F133" i="2"/>
  <c r="E133" i="2"/>
  <c r="AE133" i="2"/>
  <c r="T42" i="2"/>
  <c r="T43" i="2"/>
  <c r="T62" i="2"/>
  <c r="T44" i="2"/>
  <c r="T45" i="2"/>
  <c r="T46" i="2"/>
  <c r="T47" i="2"/>
  <c r="T48" i="2"/>
  <c r="T49" i="2"/>
  <c r="T50" i="2"/>
  <c r="T51" i="2"/>
  <c r="T52" i="2"/>
  <c r="T53" i="2"/>
  <c r="T54" i="2"/>
  <c r="T55" i="2"/>
  <c r="T56" i="2"/>
  <c r="T57" i="2"/>
  <c r="T58" i="2"/>
  <c r="T59" i="2"/>
  <c r="T60" i="2"/>
  <c r="T61" i="2"/>
  <c r="T73" i="2"/>
  <c r="T74" i="2"/>
  <c r="T75" i="2"/>
  <c r="T76" i="2"/>
  <c r="T77" i="2"/>
  <c r="T78" i="2"/>
  <c r="T79" i="2"/>
  <c r="T80" i="2"/>
  <c r="T81" i="2"/>
  <c r="T82" i="2"/>
  <c r="T83" i="2"/>
  <c r="T84" i="2"/>
  <c r="T85" i="2"/>
  <c r="T86" i="2"/>
  <c r="T87" i="2"/>
  <c r="T88" i="2"/>
  <c r="T89" i="2"/>
  <c r="T90" i="2"/>
  <c r="T91" i="2"/>
  <c r="T92" i="2"/>
  <c r="D104" i="2"/>
  <c r="K36" i="2"/>
  <c r="U41" i="2"/>
  <c r="U201" i="2"/>
  <c r="V41" i="2"/>
  <c r="E35" i="2"/>
  <c r="U177" i="2"/>
  <c r="U207" i="2"/>
  <c r="V207" i="2"/>
  <c r="D29" i="2"/>
  <c r="AE159" i="2"/>
  <c r="AE158" i="2"/>
  <c r="AD159" i="2"/>
  <c r="AD158" i="2"/>
  <c r="AC159" i="2"/>
  <c r="AC158" i="2"/>
  <c r="AB159" i="2"/>
  <c r="AB158" i="2"/>
  <c r="AA159" i="2"/>
  <c r="AA158" i="2"/>
  <c r="V159" i="2"/>
  <c r="V158" i="2"/>
  <c r="U159" i="2"/>
  <c r="U158" i="2"/>
  <c r="Z160" i="2"/>
  <c r="S160" i="2"/>
  <c r="Z139" i="2"/>
  <c r="S139" i="2"/>
  <c r="Z135" i="2"/>
  <c r="S135" i="2"/>
  <c r="Z189" i="2"/>
  <c r="Z185" i="2"/>
  <c r="S189" i="2"/>
  <c r="S185" i="2"/>
  <c r="J189" i="2"/>
  <c r="J185" i="2"/>
  <c r="C189" i="2"/>
  <c r="C185" i="2"/>
  <c r="K183" i="2"/>
  <c r="AE184" i="2"/>
  <c r="AE183" i="2"/>
  <c r="AD184" i="2"/>
  <c r="AD183" i="2"/>
  <c r="AC184" i="2"/>
  <c r="AC183" i="2"/>
  <c r="AB184" i="2"/>
  <c r="AB183" i="2"/>
  <c r="AA184" i="2"/>
  <c r="AA183" i="2"/>
  <c r="AA177" i="2"/>
  <c r="O184" i="2"/>
  <c r="O183" i="2"/>
  <c r="N184" i="2"/>
  <c r="N183" i="2"/>
  <c r="M184" i="2"/>
  <c r="M183" i="2"/>
  <c r="L184" i="2"/>
  <c r="L183" i="2"/>
  <c r="K184" i="2"/>
  <c r="E177" i="2"/>
  <c r="AD127" i="2"/>
  <c r="K127" i="2"/>
  <c r="E207" i="2"/>
  <c r="F207" i="2"/>
  <c r="D207" i="2"/>
  <c r="J139" i="2"/>
  <c r="J135" i="2"/>
  <c r="C139" i="2"/>
  <c r="C135" i="2"/>
  <c r="C184" i="2"/>
  <c r="C183" i="2"/>
  <c r="J184" i="2"/>
  <c r="J183" i="2"/>
  <c r="Z184" i="2"/>
  <c r="Z183" i="2"/>
  <c r="S184" i="2"/>
  <c r="S183" i="2"/>
  <c r="Z134" i="2"/>
  <c r="Z133" i="2"/>
  <c r="S134" i="2"/>
  <c r="S133" i="2"/>
  <c r="Z158" i="2"/>
  <c r="S158" i="2"/>
  <c r="U243" i="2"/>
  <c r="J134" i="2"/>
  <c r="J133" i="2"/>
  <c r="C133" i="2"/>
  <c r="U4" i="2"/>
  <c r="V4" i="2"/>
  <c r="W4" i="2"/>
  <c r="X4" i="2"/>
  <c r="T5" i="2"/>
  <c r="U7" i="2"/>
  <c r="G62" i="2"/>
  <c r="W7" i="2"/>
  <c r="H62" i="2"/>
  <c r="X7" i="2"/>
  <c r="V8" i="2"/>
  <c r="G63" i="2"/>
  <c r="W8" i="2"/>
  <c r="H63" i="2"/>
  <c r="X8" i="2"/>
  <c r="W9" i="2"/>
  <c r="T10" i="2"/>
  <c r="V12" i="2"/>
  <c r="G93" i="2"/>
  <c r="W12" i="2"/>
  <c r="H93" i="2"/>
  <c r="X12" i="2"/>
  <c r="U13" i="2"/>
  <c r="V13" i="2"/>
  <c r="G94" i="2"/>
  <c r="W13" i="2"/>
  <c r="H94" i="2"/>
  <c r="X13" i="2"/>
  <c r="V14" i="2"/>
  <c r="W14" i="2"/>
  <c r="U17" i="2"/>
  <c r="W41" i="2"/>
  <c r="W17" i="2"/>
  <c r="X41" i="2"/>
  <c r="X17" i="2"/>
  <c r="R42" i="2"/>
  <c r="T18" i="2"/>
  <c r="X63" i="2"/>
  <c r="R73" i="2"/>
  <c r="T23" i="2"/>
  <c r="D105" i="2"/>
  <c r="K37" i="2"/>
  <c r="R41" i="2"/>
  <c r="S41" i="2"/>
  <c r="T41" i="2"/>
  <c r="T72" i="2"/>
  <c r="AA41" i="2"/>
  <c r="AA72" i="2"/>
  <c r="AB41" i="2"/>
  <c r="AC41" i="2"/>
  <c r="AC72" i="2"/>
  <c r="AD41" i="2"/>
  <c r="AD72" i="2"/>
  <c r="AE41" i="2"/>
  <c r="S42" i="2"/>
  <c r="B43" i="2"/>
  <c r="S43" i="2"/>
  <c r="S44" i="2"/>
  <c r="S45" i="2"/>
  <c r="S46" i="2"/>
  <c r="S47" i="2"/>
  <c r="S48" i="2"/>
  <c r="S49" i="2"/>
  <c r="S50" i="2"/>
  <c r="S51" i="2"/>
  <c r="S52" i="2"/>
  <c r="S53" i="2"/>
  <c r="S54" i="2"/>
  <c r="S55" i="2"/>
  <c r="S56" i="2"/>
  <c r="S57" i="2"/>
  <c r="S58" i="2"/>
  <c r="S59" i="2"/>
  <c r="S60" i="2"/>
  <c r="S61" i="2"/>
  <c r="G66" i="2"/>
  <c r="H66" i="2"/>
  <c r="V66" i="2"/>
  <c r="X66" i="2"/>
  <c r="D72" i="2"/>
  <c r="E72" i="2"/>
  <c r="F72" i="2"/>
  <c r="G72" i="2"/>
  <c r="H72" i="2"/>
  <c r="K72" i="2"/>
  <c r="L72" i="2"/>
  <c r="M72" i="2"/>
  <c r="N72" i="2"/>
  <c r="O72" i="2"/>
  <c r="U72" i="2"/>
  <c r="W72" i="2"/>
  <c r="S73" i="2"/>
  <c r="B74" i="2"/>
  <c r="S74" i="2"/>
  <c r="S75" i="2"/>
  <c r="S76" i="2"/>
  <c r="S77" i="2"/>
  <c r="S78" i="2"/>
  <c r="S79" i="2"/>
  <c r="S80" i="2"/>
  <c r="S81" i="2"/>
  <c r="S82" i="2"/>
  <c r="S83" i="2"/>
  <c r="S84" i="2"/>
  <c r="S85" i="2"/>
  <c r="S86" i="2"/>
  <c r="S87" i="2"/>
  <c r="S88" i="2"/>
  <c r="S89" i="2"/>
  <c r="S90" i="2"/>
  <c r="S91" i="2"/>
  <c r="S92" i="2"/>
  <c r="G97" i="2"/>
  <c r="H97" i="2"/>
  <c r="U97" i="2"/>
  <c r="E104" i="2"/>
  <c r="F104" i="2"/>
  <c r="V104" i="2"/>
  <c r="E105" i="2"/>
  <c r="E112" i="2"/>
  <c r="F105" i="2"/>
  <c r="F112" i="2"/>
  <c r="J105" i="2"/>
  <c r="V105" i="2"/>
  <c r="Z105" i="2"/>
  <c r="F106" i="2"/>
  <c r="K106" i="2"/>
  <c r="N106" i="2"/>
  <c r="O106" i="2"/>
  <c r="AE106" i="2"/>
  <c r="L107" i="2"/>
  <c r="O107" i="2"/>
  <c r="V107" i="2"/>
  <c r="AE107" i="2"/>
  <c r="J108" i="2"/>
  <c r="J109" i="2"/>
  <c r="U111" i="2"/>
  <c r="V111" i="2"/>
  <c r="V112" i="2"/>
  <c r="D125" i="2"/>
  <c r="K125" i="2"/>
  <c r="U125" i="2"/>
  <c r="AA125" i="2"/>
  <c r="D126" i="2"/>
  <c r="E126" i="2"/>
  <c r="F126" i="2"/>
  <c r="K126" i="2"/>
  <c r="L126" i="2"/>
  <c r="M126" i="2"/>
  <c r="N126" i="2"/>
  <c r="O126" i="2"/>
  <c r="U126" i="2"/>
  <c r="AA126" i="2"/>
  <c r="AC126" i="2"/>
  <c r="AE126" i="2"/>
  <c r="C134" i="2"/>
  <c r="D146" i="2"/>
  <c r="E146" i="2"/>
  <c r="F146" i="2"/>
  <c r="O146" i="2"/>
  <c r="U150" i="2"/>
  <c r="AA150" i="2"/>
  <c r="U151" i="2"/>
  <c r="AA151" i="2"/>
  <c r="AC151" i="2"/>
  <c r="AE151" i="2"/>
  <c r="D175" i="2"/>
  <c r="K175" i="2"/>
  <c r="U175" i="2"/>
  <c r="AA175" i="2"/>
  <c r="E176" i="2"/>
  <c r="F176" i="2"/>
  <c r="K176" i="2"/>
  <c r="L176" i="2"/>
  <c r="M176" i="2"/>
  <c r="N176" i="2"/>
  <c r="O176" i="2"/>
  <c r="U176" i="2"/>
  <c r="AA176" i="2"/>
  <c r="AC176" i="2"/>
  <c r="AD176" i="2"/>
  <c r="D200" i="2"/>
  <c r="U200" i="2"/>
  <c r="D201" i="2"/>
  <c r="E201" i="2"/>
  <c r="F201" i="2"/>
  <c r="K216" i="2"/>
  <c r="AA216" i="2"/>
  <c r="K217" i="2"/>
  <c r="L217" i="2"/>
  <c r="M217" i="2"/>
  <c r="N217" i="2"/>
  <c r="O217" i="2"/>
  <c r="AA217" i="2"/>
  <c r="AC217" i="2"/>
  <c r="AD217" i="2"/>
  <c r="K218" i="2"/>
  <c r="L218" i="2"/>
  <c r="M218" i="2"/>
  <c r="N218" i="2"/>
  <c r="O218" i="2"/>
  <c r="O219" i="2"/>
  <c r="O221" i="2"/>
  <c r="U241" i="2"/>
  <c r="AA241" i="2"/>
  <c r="U242" i="2"/>
  <c r="AA242" i="2"/>
  <c r="AC242" i="2"/>
  <c r="AD242" i="2"/>
  <c r="E113" i="2"/>
  <c r="E115" i="2"/>
  <c r="E208" i="2"/>
  <c r="X14" i="2"/>
  <c r="U202" i="2"/>
  <c r="K96" i="2"/>
  <c r="K63" i="2"/>
  <c r="L96" i="2"/>
  <c r="L63" i="2"/>
  <c r="L64" i="2"/>
  <c r="L122" i="2"/>
  <c r="M96" i="2"/>
  <c r="M63" i="2"/>
  <c r="N63" i="2"/>
  <c r="AC76" i="2"/>
  <c r="AB76" i="2"/>
  <c r="AB74" i="2"/>
  <c r="L221" i="2"/>
  <c r="AD45" i="2"/>
  <c r="AD92" i="2"/>
  <c r="AD90" i="2"/>
  <c r="AD89" i="2"/>
  <c r="M93" i="2"/>
  <c r="U63" i="2"/>
  <c r="U68" i="2"/>
  <c r="AD49" i="2"/>
  <c r="AD47" i="2"/>
  <c r="AD46" i="2"/>
  <c r="AD84" i="2"/>
  <c r="AD82" i="2"/>
  <c r="AD81" i="2"/>
  <c r="N93" i="2"/>
  <c r="AD59" i="2"/>
  <c r="AD58" i="2"/>
  <c r="AD51" i="2"/>
  <c r="AD50" i="2"/>
  <c r="AD43" i="2"/>
  <c r="AD42" i="2"/>
  <c r="AD86" i="2"/>
  <c r="AD85" i="2"/>
  <c r="AD78" i="2"/>
  <c r="AD77" i="2"/>
  <c r="L93" i="2"/>
  <c r="E203" i="2"/>
  <c r="F203" i="2"/>
  <c r="F209" i="2"/>
  <c r="K65" i="2"/>
  <c r="K62" i="2"/>
  <c r="K94" i="2"/>
  <c r="M65" i="2"/>
  <c r="M219" i="2"/>
  <c r="M223" i="2"/>
  <c r="M62" i="2"/>
  <c r="M117" i="2"/>
  <c r="M129" i="2"/>
  <c r="M94" i="2"/>
  <c r="N94" i="2"/>
  <c r="X9" i="2"/>
  <c r="E117" i="2"/>
  <c r="L65" i="2"/>
  <c r="L219" i="2"/>
  <c r="L223" i="2"/>
  <c r="L62" i="2"/>
  <c r="L94" i="2"/>
  <c r="N65" i="2"/>
  <c r="N219" i="2"/>
  <c r="N62" i="2"/>
  <c r="N96" i="2"/>
  <c r="O117" i="2"/>
  <c r="D203" i="2"/>
  <c r="AD60" i="2"/>
  <c r="AD56" i="2"/>
  <c r="AD52" i="2"/>
  <c r="AD48" i="2"/>
  <c r="AD44" i="2"/>
  <c r="AD91" i="2"/>
  <c r="AD87" i="2"/>
  <c r="AD83" i="2"/>
  <c r="AD79" i="2"/>
  <c r="AD75" i="2"/>
  <c r="O123" i="2"/>
  <c r="O122" i="2"/>
  <c r="O128" i="2"/>
  <c r="AC61" i="2"/>
  <c r="AB58" i="2"/>
  <c r="AC59" i="2"/>
  <c r="AB59" i="2"/>
  <c r="AC57" i="2"/>
  <c r="AB57" i="2"/>
  <c r="AB55" i="2"/>
  <c r="AB53" i="2"/>
  <c r="AB51" i="2"/>
  <c r="AB49" i="2"/>
  <c r="AB47" i="2"/>
  <c r="AB45" i="2"/>
  <c r="AB42" i="2"/>
  <c r="AB91" i="2"/>
  <c r="AB89" i="2"/>
  <c r="AB87" i="2"/>
  <c r="AB85" i="2"/>
  <c r="AB83" i="2"/>
  <c r="AB81" i="2"/>
  <c r="AB79" i="2"/>
  <c r="AB77" i="2"/>
  <c r="U64" i="2"/>
  <c r="U69" i="2"/>
  <c r="N117" i="2"/>
  <c r="L146" i="2"/>
  <c r="L222" i="2"/>
  <c r="E129" i="2"/>
  <c r="N146" i="2"/>
  <c r="O178" i="2"/>
  <c r="N129" i="2"/>
  <c r="M64" i="2"/>
  <c r="M146" i="2"/>
  <c r="M221" i="2"/>
  <c r="R74" i="2"/>
  <c r="B75" i="2"/>
  <c r="B76" i="2"/>
  <c r="R76" i="2"/>
  <c r="V208" i="2"/>
  <c r="U208" i="2"/>
  <c r="F208" i="2"/>
  <c r="F213" i="2"/>
  <c r="D208" i="2"/>
  <c r="D213" i="2"/>
  <c r="D214" i="2"/>
  <c r="K95" i="2"/>
  <c r="K146" i="2"/>
  <c r="F210" i="2"/>
  <c r="X100" i="2"/>
  <c r="X99" i="2"/>
  <c r="O129" i="2"/>
  <c r="N64" i="2"/>
  <c r="N221" i="2"/>
  <c r="AE72" i="2"/>
  <c r="AE217" i="2"/>
  <c r="AE176" i="2"/>
  <c r="AE242" i="2"/>
  <c r="AB72" i="2"/>
  <c r="AB126" i="2"/>
  <c r="AB151" i="2"/>
  <c r="AB242" i="2"/>
  <c r="AB176" i="2"/>
  <c r="AB217" i="2"/>
  <c r="V201" i="2"/>
  <c r="V17" i="2"/>
  <c r="V72" i="2"/>
  <c r="V176" i="2"/>
  <c r="V126" i="2"/>
  <c r="V151" i="2"/>
  <c r="V242" i="2"/>
  <c r="T94" i="2"/>
  <c r="T95" i="2"/>
  <c r="T93" i="2"/>
  <c r="T96" i="2"/>
  <c r="T97" i="2"/>
  <c r="T63" i="2"/>
  <c r="T64" i="2"/>
  <c r="T105" i="2"/>
  <c r="AA37" i="2"/>
  <c r="T104" i="2"/>
  <c r="AA36" i="2"/>
  <c r="T65" i="2"/>
  <c r="T66" i="2"/>
  <c r="T106" i="2"/>
  <c r="X93" i="2"/>
  <c r="X98" i="2"/>
  <c r="X25" i="2"/>
  <c r="X97" i="2"/>
  <c r="AC74" i="2"/>
  <c r="AD74" i="2"/>
  <c r="U22" i="2"/>
  <c r="U21" i="2"/>
  <c r="AB75" i="2"/>
  <c r="W97" i="2"/>
  <c r="W94" i="2"/>
  <c r="K64" i="2"/>
  <c r="K221" i="2"/>
  <c r="L95" i="2"/>
  <c r="M95" i="2"/>
  <c r="V108" i="2"/>
  <c r="V109" i="2"/>
  <c r="B44" i="2"/>
  <c r="R43" i="2"/>
  <c r="X69" i="2"/>
  <c r="X68" i="2"/>
  <c r="AD151" i="2"/>
  <c r="AD126" i="2"/>
  <c r="D64" i="2"/>
  <c r="U8" i="2"/>
  <c r="E64" i="2"/>
  <c r="U9" i="2"/>
  <c r="F64" i="2"/>
  <c r="V9" i="2"/>
  <c r="V63" i="2"/>
  <c r="V65" i="2"/>
  <c r="V62" i="2"/>
  <c r="V67" i="2"/>
  <c r="V20" i="2"/>
  <c r="V22" i="2"/>
  <c r="V93" i="2"/>
  <c r="V96" i="2"/>
  <c r="AB54" i="2"/>
  <c r="W66" i="2"/>
  <c r="AC52" i="2"/>
  <c r="AC48" i="2"/>
  <c r="AC44" i="2"/>
  <c r="AC42" i="2"/>
  <c r="X62" i="2"/>
  <c r="X67" i="2"/>
  <c r="X20" i="2"/>
  <c r="AC91" i="2"/>
  <c r="AA243" i="2"/>
  <c r="F202" i="2"/>
  <c r="V127" i="2"/>
  <c r="AA152" i="2"/>
  <c r="K177" i="2"/>
  <c r="D96" i="2"/>
  <c r="D95" i="2"/>
  <c r="AB56" i="2"/>
  <c r="AC55" i="2"/>
  <c r="AB88" i="2"/>
  <c r="AB84" i="2"/>
  <c r="AC79" i="2"/>
  <c r="AC77" i="2"/>
  <c r="V202" i="2"/>
  <c r="E36" i="2"/>
  <c r="AD177" i="2"/>
  <c r="V177" i="2"/>
  <c r="N177" i="2"/>
  <c r="F177" i="2"/>
  <c r="AD152" i="2"/>
  <c r="V152" i="2"/>
  <c r="AC127" i="2"/>
  <c r="U127" i="2"/>
  <c r="L127" i="2"/>
  <c r="D127" i="2"/>
  <c r="AD243" i="2"/>
  <c r="V243" i="2"/>
  <c r="AC218" i="2"/>
  <c r="AB177" i="2"/>
  <c r="L177" i="2"/>
  <c r="D177" i="2"/>
  <c r="AB152" i="2"/>
  <c r="AE127" i="2"/>
  <c r="AA127" i="2"/>
  <c r="N127" i="2"/>
  <c r="N147" i="2"/>
  <c r="E127" i="2"/>
  <c r="AB243" i="2"/>
  <c r="AE218" i="2"/>
  <c r="AA218" i="2"/>
  <c r="AD54" i="2"/>
  <c r="AC80" i="2"/>
  <c r="L147" i="2"/>
  <c r="F204" i="2"/>
  <c r="F205" i="2"/>
  <c r="F206" i="2"/>
  <c r="F215" i="2"/>
  <c r="F123" i="2"/>
  <c r="F122" i="2"/>
  <c r="D123" i="2"/>
  <c r="D122" i="2"/>
  <c r="D195" i="2"/>
  <c r="R75" i="2"/>
  <c r="N223" i="2"/>
  <c r="N224" i="2"/>
  <c r="D147" i="2"/>
  <c r="D148" i="2"/>
  <c r="R44" i="2"/>
  <c r="B45" i="2"/>
  <c r="M123" i="2"/>
  <c r="M139" i="2"/>
  <c r="M122" i="2"/>
  <c r="N222" i="2"/>
  <c r="V64" i="2"/>
  <c r="V69" i="2"/>
  <c r="V68" i="2"/>
  <c r="E123" i="2"/>
  <c r="L123" i="2"/>
  <c r="L148" i="2"/>
  <c r="M222" i="2"/>
  <c r="D209" i="2"/>
  <c r="D211" i="2"/>
  <c r="D212" i="2"/>
  <c r="X21" i="2"/>
  <c r="X22" i="2"/>
  <c r="V98" i="2"/>
  <c r="V25" i="2"/>
  <c r="V117" i="2"/>
  <c r="K123" i="2"/>
  <c r="K122" i="2"/>
  <c r="W99" i="2"/>
  <c r="W100" i="2"/>
  <c r="X26" i="2"/>
  <c r="K178" i="2"/>
  <c r="K128" i="2"/>
  <c r="F195" i="2"/>
  <c r="F128" i="2"/>
  <c r="W27" i="2"/>
  <c r="W26" i="2"/>
  <c r="D210" i="2"/>
  <c r="M128" i="2"/>
  <c r="M178" i="2"/>
  <c r="D128" i="2"/>
  <c r="D197" i="2"/>
  <c r="V21" i="2"/>
  <c r="M224" i="2"/>
  <c r="M140" i="2"/>
  <c r="M135" i="2"/>
  <c r="B46" i="2"/>
  <c r="R45" i="2"/>
  <c r="B77" i="2"/>
  <c r="V118" i="2"/>
  <c r="V119" i="2"/>
  <c r="V245" i="2"/>
  <c r="F139" i="2"/>
  <c r="F140" i="2"/>
  <c r="F135" i="2"/>
  <c r="F136" i="2"/>
  <c r="F137" i="2"/>
  <c r="F138" i="2"/>
  <c r="D198" i="2"/>
  <c r="F178" i="2"/>
  <c r="V154" i="2"/>
  <c r="V129" i="2"/>
  <c r="B47" i="2"/>
  <c r="R46" i="2"/>
  <c r="M136" i="2"/>
  <c r="M143" i="2"/>
  <c r="M137" i="2"/>
  <c r="M138" i="2"/>
  <c r="D196" i="2"/>
  <c r="D179" i="2"/>
  <c r="D185" i="2"/>
  <c r="D191" i="2"/>
  <c r="D118" i="2"/>
  <c r="F179" i="2"/>
  <c r="F118" i="2"/>
  <c r="F196" i="2"/>
  <c r="B78" i="2"/>
  <c r="B79" i="2"/>
  <c r="R77" i="2"/>
  <c r="D178" i="2"/>
  <c r="D189" i="2"/>
  <c r="D190" i="2"/>
  <c r="D131" i="2"/>
  <c r="D130" i="2"/>
  <c r="D180" i="2"/>
  <c r="D132" i="2"/>
  <c r="D181" i="2"/>
  <c r="D182" i="2"/>
  <c r="R78" i="2"/>
  <c r="B48" i="2"/>
  <c r="R48" i="2"/>
  <c r="R47" i="2"/>
  <c r="B49" i="2"/>
  <c r="B50" i="2"/>
  <c r="B51" i="2"/>
  <c r="B80" i="2"/>
  <c r="R79" i="2"/>
  <c r="B81" i="2"/>
  <c r="B82" i="2"/>
  <c r="B83" i="2"/>
  <c r="R80" i="2"/>
  <c r="R82" i="2"/>
  <c r="B52" i="2"/>
  <c r="R51" i="2"/>
  <c r="R83" i="2"/>
  <c r="B84" i="2"/>
  <c r="K117" i="2"/>
  <c r="K97" i="2"/>
  <c r="E209" i="2"/>
  <c r="E148" i="2"/>
  <c r="E147" i="2"/>
  <c r="E122" i="2"/>
  <c r="W69" i="2"/>
  <c r="W68" i="2"/>
  <c r="R50" i="2"/>
  <c r="D186" i="2"/>
  <c r="K195" i="2"/>
  <c r="M97" i="2"/>
  <c r="M66" i="2"/>
  <c r="O66" i="2"/>
  <c r="N97" i="2"/>
  <c r="M98" i="2"/>
  <c r="O98" i="2"/>
  <c r="O67" i="2"/>
  <c r="K98" i="2"/>
  <c r="N67" i="2"/>
  <c r="K66" i="2"/>
  <c r="K67" i="2"/>
  <c r="L97" i="2"/>
  <c r="L98" i="2"/>
  <c r="L67" i="2"/>
  <c r="M67" i="2"/>
  <c r="N66" i="2"/>
  <c r="O97" i="2"/>
  <c r="R49" i="2"/>
  <c r="F185" i="2"/>
  <c r="F189" i="2"/>
  <c r="F190" i="2"/>
  <c r="D187" i="2"/>
  <c r="D188" i="2"/>
  <c r="U95" i="2"/>
  <c r="U100" i="2"/>
  <c r="U99" i="2"/>
  <c r="U259" i="2"/>
  <c r="U203" i="2"/>
  <c r="U258" i="2"/>
  <c r="U260" i="2"/>
  <c r="R81" i="2"/>
  <c r="M141" i="2"/>
  <c r="O135" i="2"/>
  <c r="O139" i="2"/>
  <c r="O140" i="2"/>
  <c r="D135" i="2"/>
  <c r="D139" i="2"/>
  <c r="D140" i="2"/>
  <c r="U122" i="2"/>
  <c r="U123" i="2"/>
  <c r="F214" i="2"/>
  <c r="F211" i="2"/>
  <c r="F212" i="2"/>
  <c r="K219" i="2"/>
  <c r="K147" i="2"/>
  <c r="K197" i="2"/>
  <c r="K148" i="2"/>
  <c r="L128" i="2"/>
  <c r="L178" i="2"/>
  <c r="U204" i="2"/>
  <c r="U205" i="2"/>
  <c r="U206" i="2"/>
  <c r="L117" i="2"/>
  <c r="L66" i="2"/>
  <c r="N148" i="2"/>
  <c r="N98" i="2"/>
  <c r="N95" i="2"/>
  <c r="E37" i="2"/>
  <c r="I192" i="2"/>
  <c r="Y142" i="2"/>
  <c r="X27" i="2"/>
  <c r="L224" i="2"/>
  <c r="E213" i="2"/>
  <c r="E214" i="2"/>
  <c r="O223" i="2"/>
  <c r="O222" i="2"/>
  <c r="V94" i="2"/>
  <c r="AC243" i="2"/>
  <c r="M127" i="2"/>
  <c r="U152" i="2"/>
  <c r="M177" i="2"/>
  <c r="AC177" i="2"/>
  <c r="AB90" i="2"/>
  <c r="AB96" i="2"/>
  <c r="AC53" i="2"/>
  <c r="AC47" i="2"/>
  <c r="AC107" i="2"/>
  <c r="AD80" i="2"/>
  <c r="AD107" i="2"/>
  <c r="M106" i="2"/>
  <c r="X72" i="2"/>
  <c r="U66" i="2"/>
  <c r="U106" i="2"/>
  <c r="W62" i="2"/>
  <c r="W67" i="2"/>
  <c r="W20" i="2"/>
  <c r="AB218" i="2"/>
  <c r="AE243" i="2"/>
  <c r="F127" i="2"/>
  <c r="F141" i="2"/>
  <c r="E202" i="2"/>
  <c r="O127" i="2"/>
  <c r="AC152" i="2"/>
  <c r="O177" i="2"/>
  <c r="AE177" i="2"/>
  <c r="U93" i="2"/>
  <c r="U105" i="2"/>
  <c r="U104" i="2"/>
  <c r="U107" i="2"/>
  <c r="AD218" i="2"/>
  <c r="D202" i="2"/>
  <c r="AB127" i="2"/>
  <c r="AE152" i="2"/>
  <c r="AA54" i="2"/>
  <c r="AA106" i="2"/>
  <c r="D205" i="2"/>
  <c r="D206" i="2"/>
  <c r="D204" i="2"/>
  <c r="D215" i="2"/>
  <c r="K223" i="2"/>
  <c r="K224" i="2"/>
  <c r="K222" i="2"/>
  <c r="K227" i="2"/>
  <c r="AD93" i="2"/>
  <c r="AD99" i="2" s="1"/>
  <c r="U244" i="2"/>
  <c r="U178" i="2"/>
  <c r="U153" i="2"/>
  <c r="U128" i="2"/>
  <c r="U213" i="2"/>
  <c r="U214" i="2"/>
  <c r="U209" i="2"/>
  <c r="AB107" i="2"/>
  <c r="AA107" i="2"/>
  <c r="E211" i="2"/>
  <c r="E212" i="2"/>
  <c r="E210" i="2"/>
  <c r="U98" i="2"/>
  <c r="U25" i="2"/>
  <c r="U117" i="2"/>
  <c r="O147" i="2"/>
  <c r="O131" i="2"/>
  <c r="O148" i="2"/>
  <c r="O130" i="2"/>
  <c r="D141" i="2"/>
  <c r="D136" i="2"/>
  <c r="D137" i="2"/>
  <c r="D138" i="2"/>
  <c r="R84" i="2"/>
  <c r="B85" i="2"/>
  <c r="M148" i="2"/>
  <c r="M147" i="2"/>
  <c r="M131" i="2"/>
  <c r="M130" i="2"/>
  <c r="F147" i="2"/>
  <c r="F197" i="2"/>
  <c r="F148" i="2"/>
  <c r="F198" i="2"/>
  <c r="F131" i="2"/>
  <c r="F130" i="2"/>
  <c r="F180" i="2"/>
  <c r="E38" i="2"/>
  <c r="I142" i="2"/>
  <c r="M142" i="2"/>
  <c r="Y167" i="2"/>
  <c r="Y192" i="2"/>
  <c r="AD106" i="2"/>
  <c r="O141" i="2"/>
  <c r="O143" i="2"/>
  <c r="O144" i="2"/>
  <c r="O137" i="2"/>
  <c r="O138" i="2"/>
  <c r="O136" i="2"/>
  <c r="O142" i="2"/>
  <c r="U195" i="2"/>
  <c r="AB106" i="2"/>
  <c r="E128" i="2"/>
  <c r="E195" i="2"/>
  <c r="U146" i="2"/>
  <c r="U171" i="2"/>
  <c r="M195" i="2"/>
  <c r="O195" i="2"/>
  <c r="N195" i="2"/>
  <c r="L195" i="2"/>
  <c r="K196" i="2"/>
  <c r="K185" i="2"/>
  <c r="K226" i="2"/>
  <c r="K228" i="2"/>
  <c r="K229" i="2"/>
  <c r="K189" i="2"/>
  <c r="K190" i="2"/>
  <c r="E198" i="2"/>
  <c r="E205" i="2"/>
  <c r="E206" i="2"/>
  <c r="E215" i="2"/>
  <c r="E204" i="2"/>
  <c r="W21" i="2"/>
  <c r="W22" i="2"/>
  <c r="O224" i="2"/>
  <c r="U109" i="2"/>
  <c r="U108" i="2"/>
  <c r="U112" i="2"/>
  <c r="AC106" i="2"/>
  <c r="V100" i="2"/>
  <c r="V259" i="2"/>
  <c r="V99" i="2"/>
  <c r="V258" i="2"/>
  <c r="V95" i="2"/>
  <c r="V203" i="2"/>
  <c r="V260" i="2"/>
  <c r="N123" i="2"/>
  <c r="N122" i="2"/>
  <c r="L129" i="2"/>
  <c r="L118" i="2"/>
  <c r="K198" i="2"/>
  <c r="U148" i="2"/>
  <c r="U198" i="2"/>
  <c r="U173" i="2"/>
  <c r="U147" i="2"/>
  <c r="U172" i="2"/>
  <c r="U197" i="2"/>
  <c r="F191" i="2"/>
  <c r="F187" i="2"/>
  <c r="F188" i="2"/>
  <c r="F186" i="2"/>
  <c r="E197" i="2"/>
  <c r="K129" i="2"/>
  <c r="K118" i="2"/>
  <c r="B53" i="2"/>
  <c r="R52" i="2"/>
  <c r="K179" i="2"/>
  <c r="K130" i="2"/>
  <c r="K180" i="2"/>
  <c r="K139" i="2"/>
  <c r="K140" i="2"/>
  <c r="K135" i="2"/>
  <c r="K131" i="2"/>
  <c r="V172" i="2"/>
  <c r="V147" i="2"/>
  <c r="U115" i="2"/>
  <c r="U114" i="2"/>
  <c r="U113" i="2"/>
  <c r="R53" i="2"/>
  <c r="B54" i="2"/>
  <c r="L179" i="2"/>
  <c r="L130" i="2"/>
  <c r="L180" i="2"/>
  <c r="L131" i="2"/>
  <c r="L139" i="2"/>
  <c r="L140" i="2"/>
  <c r="L135" i="2"/>
  <c r="V171" i="2"/>
  <c r="V146" i="2"/>
  <c r="L196" i="2"/>
  <c r="L197" i="2"/>
  <c r="L198" i="2"/>
  <c r="L226" i="2"/>
  <c r="L189" i="2"/>
  <c r="L190" i="2"/>
  <c r="L185" i="2"/>
  <c r="E139" i="2"/>
  <c r="E140" i="2"/>
  <c r="E135" i="2"/>
  <c r="E131" i="2"/>
  <c r="E130" i="2"/>
  <c r="E180" i="2"/>
  <c r="E178" i="2"/>
  <c r="E185" i="2"/>
  <c r="U185" i="2"/>
  <c r="U250" i="2"/>
  <c r="U249" i="2"/>
  <c r="U189" i="2"/>
  <c r="U190" i="2"/>
  <c r="I144" i="2"/>
  <c r="Y194" i="2"/>
  <c r="Y144" i="2"/>
  <c r="I194" i="2"/>
  <c r="Y169" i="2"/>
  <c r="M144" i="2"/>
  <c r="M197" i="2"/>
  <c r="O198" i="2"/>
  <c r="U27" i="2"/>
  <c r="U26" i="2"/>
  <c r="N128" i="2"/>
  <c r="N178" i="2"/>
  <c r="N185" i="2"/>
  <c r="V148" i="2"/>
  <c r="V173" i="2"/>
  <c r="N118" i="2"/>
  <c r="N226" i="2"/>
  <c r="N179" i="2"/>
  <c r="N189" i="2"/>
  <c r="N190" i="2"/>
  <c r="N196" i="2"/>
  <c r="N197" i="2"/>
  <c r="U196" i="2"/>
  <c r="N198" i="2"/>
  <c r="M198" i="2"/>
  <c r="O132" i="2"/>
  <c r="O181" i="2"/>
  <c r="O182" i="2"/>
  <c r="U210" i="2"/>
  <c r="U211" i="2"/>
  <c r="U212" i="2"/>
  <c r="U215" i="2"/>
  <c r="N135" i="2"/>
  <c r="N139" i="2"/>
  <c r="N140" i="2"/>
  <c r="V204" i="2"/>
  <c r="V209" i="2"/>
  <c r="V213" i="2"/>
  <c r="V214" i="2"/>
  <c r="V205" i="2"/>
  <c r="V206" i="2"/>
  <c r="K191" i="2"/>
  <c r="K186" i="2"/>
  <c r="K192" i="2"/>
  <c r="K187" i="2"/>
  <c r="K188" i="2"/>
  <c r="K193" i="2"/>
  <c r="K194" i="2"/>
  <c r="O185" i="2"/>
  <c r="O196" i="2"/>
  <c r="O226" i="2"/>
  <c r="O189" i="2"/>
  <c r="O190" i="2"/>
  <c r="O118" i="2"/>
  <c r="O179" i="2"/>
  <c r="F132" i="2"/>
  <c r="F181" i="2"/>
  <c r="F182" i="2"/>
  <c r="M180" i="2"/>
  <c r="R85" i="2"/>
  <c r="B86" i="2"/>
  <c r="O197" i="2"/>
  <c r="V123" i="2"/>
  <c r="V122" i="2"/>
  <c r="V27" i="2"/>
  <c r="V26" i="2"/>
  <c r="M118" i="2"/>
  <c r="M185" i="2"/>
  <c r="M189" i="2"/>
  <c r="M190" i="2"/>
  <c r="M226" i="2"/>
  <c r="M179" i="2"/>
  <c r="M196" i="2"/>
  <c r="E196" i="2"/>
  <c r="E118" i="2"/>
  <c r="E179" i="2"/>
  <c r="M181" i="2"/>
  <c r="M182" i="2"/>
  <c r="M132" i="2"/>
  <c r="O180" i="2"/>
  <c r="U119" i="2"/>
  <c r="U160" i="2"/>
  <c r="U164" i="2"/>
  <c r="U165" i="2"/>
  <c r="U120" i="2"/>
  <c r="U245" i="2"/>
  <c r="U118" i="2"/>
  <c r="U135" i="2"/>
  <c r="U136" i="2"/>
  <c r="E191" i="2"/>
  <c r="E186" i="2"/>
  <c r="N191" i="2"/>
  <c r="N192" i="2"/>
  <c r="N187" i="2"/>
  <c r="N188" i="2"/>
  <c r="N186" i="2"/>
  <c r="N193" i="2"/>
  <c r="N194" i="2"/>
  <c r="N141" i="2"/>
  <c r="N142" i="2"/>
  <c r="N143" i="2"/>
  <c r="N144" i="2"/>
  <c r="N136" i="2"/>
  <c r="N137" i="2"/>
  <c r="N138" i="2"/>
  <c r="AA195" i="2"/>
  <c r="K132" i="2"/>
  <c r="K181" i="2"/>
  <c r="K182" i="2"/>
  <c r="M228" i="2"/>
  <c r="M229" i="2"/>
  <c r="M227" i="2"/>
  <c r="O191" i="2"/>
  <c r="O187" i="2"/>
  <c r="O188" i="2"/>
  <c r="O193" i="2"/>
  <c r="O194" i="2"/>
  <c r="O192" i="2"/>
  <c r="O186" i="2"/>
  <c r="V215" i="2"/>
  <c r="V211" i="2"/>
  <c r="V212" i="2"/>
  <c r="V210" i="2"/>
  <c r="U251" i="2"/>
  <c r="L191" i="2"/>
  <c r="L186" i="2"/>
  <c r="L193" i="2"/>
  <c r="L194" i="2"/>
  <c r="L187" i="2"/>
  <c r="L188" i="2"/>
  <c r="L192" i="2"/>
  <c r="L141" i="2"/>
  <c r="L142" i="2"/>
  <c r="L137" i="2"/>
  <c r="L138" i="2"/>
  <c r="L136" i="2"/>
  <c r="L143" i="2"/>
  <c r="L144" i="2"/>
  <c r="R54" i="2"/>
  <c r="B55" i="2"/>
  <c r="K141" i="2"/>
  <c r="K136" i="2"/>
  <c r="K143" i="2"/>
  <c r="K144" i="2"/>
  <c r="K137" i="2"/>
  <c r="K138" i="2"/>
  <c r="K142" i="2"/>
  <c r="U166" i="2"/>
  <c r="U162" i="2"/>
  <c r="U163" i="2"/>
  <c r="U161" i="2"/>
  <c r="E189" i="2"/>
  <c r="E190" i="2"/>
  <c r="V244" i="2"/>
  <c r="V128" i="2"/>
  <c r="V178" i="2"/>
  <c r="V153" i="2"/>
  <c r="V195" i="2"/>
  <c r="N227" i="2"/>
  <c r="N228" i="2"/>
  <c r="N229" i="2"/>
  <c r="U255" i="2"/>
  <c r="U256" i="2"/>
  <c r="E132" i="2"/>
  <c r="E181" i="2"/>
  <c r="E182" i="2"/>
  <c r="U246" i="2"/>
  <c r="U154" i="2"/>
  <c r="U129" i="2"/>
  <c r="U179" i="2"/>
  <c r="U247" i="2"/>
  <c r="M191" i="2"/>
  <c r="M192" i="2"/>
  <c r="M186" i="2"/>
  <c r="M193" i="2"/>
  <c r="M194" i="2"/>
  <c r="M187" i="2"/>
  <c r="M188" i="2"/>
  <c r="V164" i="2"/>
  <c r="V165" i="2"/>
  <c r="V160" i="2"/>
  <c r="B87" i="2"/>
  <c r="R86" i="2"/>
  <c r="O228" i="2"/>
  <c r="O229" i="2"/>
  <c r="O227" i="2"/>
  <c r="N130" i="2"/>
  <c r="N180" i="2"/>
  <c r="N131" i="2"/>
  <c r="U191" i="2"/>
  <c r="U186" i="2"/>
  <c r="U187" i="2"/>
  <c r="U188" i="2"/>
  <c r="E141" i="2"/>
  <c r="E136" i="2"/>
  <c r="E137" i="2"/>
  <c r="E138" i="2"/>
  <c r="L227" i="2"/>
  <c r="L228" i="2"/>
  <c r="L181" i="2"/>
  <c r="L182" i="2"/>
  <c r="L132" i="2"/>
  <c r="V179" i="2"/>
  <c r="V185" i="2"/>
  <c r="V249" i="2"/>
  <c r="V251" i="2"/>
  <c r="V120" i="2"/>
  <c r="V189" i="2"/>
  <c r="V190" i="2"/>
  <c r="V250" i="2"/>
  <c r="V255" i="2"/>
  <c r="V256" i="2"/>
  <c r="V198" i="2"/>
  <c r="V197" i="2"/>
  <c r="V196" i="2"/>
  <c r="V247" i="2"/>
  <c r="V246" i="2"/>
  <c r="B56" i="2"/>
  <c r="R55" i="2"/>
  <c r="U252" i="2"/>
  <c r="U253" i="2"/>
  <c r="U254" i="2"/>
  <c r="L229" i="2"/>
  <c r="E187" i="2"/>
  <c r="E188" i="2"/>
  <c r="N181" i="2"/>
  <c r="N182" i="2"/>
  <c r="N132" i="2"/>
  <c r="B88" i="2"/>
  <c r="R87" i="2"/>
  <c r="V166" i="2"/>
  <c r="V161" i="2"/>
  <c r="V162" i="2"/>
  <c r="V163" i="2"/>
  <c r="U156" i="2"/>
  <c r="U157" i="2"/>
  <c r="U181" i="2"/>
  <c r="U248" i="2"/>
  <c r="U131" i="2"/>
  <c r="U132" i="2"/>
  <c r="U130" i="2"/>
  <c r="U155" i="2"/>
  <c r="U180" i="2"/>
  <c r="AE195" i="2"/>
  <c r="AC195" i="2"/>
  <c r="AD195" i="2"/>
  <c r="AA249" i="2"/>
  <c r="AA250" i="2"/>
  <c r="AB195" i="2"/>
  <c r="AE250" i="2"/>
  <c r="AE249" i="2"/>
  <c r="R88" i="2"/>
  <c r="B89" i="2"/>
  <c r="V130" i="2"/>
  <c r="V180" i="2"/>
  <c r="V155" i="2"/>
  <c r="V253" i="2"/>
  <c r="V254" i="2"/>
  <c r="V252" i="2"/>
  <c r="R56" i="2"/>
  <c r="B57" i="2"/>
  <c r="V156" i="2"/>
  <c r="V157" i="2"/>
  <c r="V131" i="2"/>
  <c r="V132" i="2"/>
  <c r="V248" i="2"/>
  <c r="V181" i="2"/>
  <c r="V182" i="2"/>
  <c r="V191" i="2"/>
  <c r="V187" i="2"/>
  <c r="V188" i="2"/>
  <c r="V186" i="2"/>
  <c r="AB249" i="2"/>
  <c r="AB250" i="2"/>
  <c r="AD249" i="2"/>
  <c r="AD250" i="2"/>
  <c r="U182" i="2"/>
  <c r="AC249" i="2"/>
  <c r="AC250" i="2"/>
  <c r="R89" i="2"/>
  <c r="B90" i="2"/>
  <c r="R57" i="2"/>
  <c r="B58" i="2"/>
  <c r="B91" i="2"/>
  <c r="R90" i="2"/>
  <c r="B59" i="2"/>
  <c r="R58" i="2"/>
  <c r="R91" i="2"/>
  <c r="B92" i="2"/>
  <c r="R92" i="2"/>
  <c r="R59" i="2"/>
  <c r="B60" i="2"/>
  <c r="B61" i="2"/>
  <c r="R61" i="2"/>
  <c r="R60" i="2"/>
  <c r="AB62" i="2"/>
  <c r="AB68" i="2" s="1"/>
  <c r="AC62" i="2"/>
  <c r="AC70" i="2" s="1"/>
  <c r="AB94" i="2"/>
  <c r="AB102" i="2" s="1"/>
  <c r="AC65" i="2"/>
  <c r="AC219" i="2" s="1"/>
  <c r="AD65" i="2"/>
  <c r="AD219" i="2" s="1"/>
  <c r="AC93" i="2"/>
  <c r="AC97" i="2" s="1"/>
  <c r="U141" i="2"/>
  <c r="AA133" i="2"/>
  <c r="V134" i="2"/>
  <c r="V139" i="2"/>
  <c r="V140" i="2"/>
  <c r="AD134" i="2"/>
  <c r="AB133" i="2"/>
  <c r="AA134" i="2"/>
  <c r="V136" i="2"/>
  <c r="V137" i="2"/>
  <c r="V138" i="2"/>
  <c r="V141" i="2"/>
  <c r="U137" i="2"/>
  <c r="U138" i="2"/>
  <c r="AB63" i="2"/>
  <c r="AB69" i="2" s="1"/>
  <c r="AA65" i="2"/>
  <c r="AA219" i="2" s="1"/>
  <c r="AA63" i="2"/>
  <c r="AA67" i="2" s="1"/>
  <c r="AE96" i="2"/>
  <c r="AD63" i="2"/>
  <c r="AD236" i="2" s="1"/>
  <c r="AA96" i="2"/>
  <c r="AA94" i="2"/>
  <c r="AA102" i="2" s="1"/>
  <c r="AE94" i="2"/>
  <c r="AD62" i="2"/>
  <c r="AD66" i="2" s="1"/>
  <c r="AC63" i="2"/>
  <c r="AC71" i="2" s="1"/>
  <c r="AE65" i="2"/>
  <c r="AE219" i="2" s="1"/>
  <c r="AE93" i="2"/>
  <c r="AE101" i="2" s="1"/>
  <c r="AD94" i="2"/>
  <c r="AD98" i="2" s="1"/>
  <c r="AC96" i="2"/>
  <c r="AC94" i="2"/>
  <c r="AB70" i="2"/>
  <c r="AB71" i="2"/>
  <c r="AB236" i="2"/>
  <c r="AB231" i="2" s="1"/>
  <c r="Z108" i="2"/>
  <c r="Z109" i="2" s="1"/>
  <c r="AA93" i="2"/>
  <c r="AA99" i="2" s="1"/>
  <c r="AA62" i="2"/>
  <c r="AA68" i="2" s="1"/>
  <c r="AB93" i="2"/>
  <c r="AB97" i="2" s="1"/>
  <c r="AE63" i="2"/>
  <c r="AE71" i="2" s="1"/>
  <c r="AE62" i="2"/>
  <c r="AE70" i="2" s="1"/>
  <c r="AD96" i="2"/>
  <c r="AB65" i="2"/>
  <c r="AB219" i="2" s="1"/>
  <c r="AB238" i="2" s="1"/>
  <c r="AB228" i="2" s="1"/>
  <c r="AE69" i="2"/>
  <c r="AE67" i="2"/>
  <c r="AB100" i="2" l="1"/>
  <c r="AC66" i="2"/>
  <c r="AC68" i="2"/>
  <c r="AB226" i="2"/>
  <c r="AB259" i="2"/>
  <c r="AB147" i="2" s="1"/>
  <c r="AB95" i="2"/>
  <c r="AD71" i="2"/>
  <c r="AB237" i="2"/>
  <c r="AB239" i="2" s="1"/>
  <c r="AE99" i="2"/>
  <c r="AE64" i="2"/>
  <c r="AE97" i="2"/>
  <c r="AB99" i="2"/>
  <c r="AC99" i="2"/>
  <c r="AA70" i="2"/>
  <c r="AD101" i="2"/>
  <c r="AD258" i="2"/>
  <c r="AD171" i="2" s="1"/>
  <c r="AD70" i="2"/>
  <c r="AC259" i="2"/>
  <c r="AC197" i="2" s="1"/>
  <c r="AE260" i="2"/>
  <c r="AE173" i="2" s="1"/>
  <c r="AD67" i="2"/>
  <c r="AA98" i="2"/>
  <c r="AD102" i="2"/>
  <c r="AA100" i="2"/>
  <c r="AB101" i="2"/>
  <c r="AE236" i="2"/>
  <c r="AB221" i="2"/>
  <c r="AA95" i="2"/>
  <c r="AC260" i="2"/>
  <c r="AC148" i="2" s="1"/>
  <c r="AD68" i="2"/>
  <c r="AE237" i="2"/>
  <c r="AD226" i="2"/>
  <c r="AD231" i="2"/>
  <c r="AD221" i="2"/>
  <c r="AB172" i="2"/>
  <c r="AD237" i="2"/>
  <c r="AE117" i="2"/>
  <c r="AE66" i="2"/>
  <c r="AE68" i="2"/>
  <c r="AD238" i="2"/>
  <c r="AE258" i="2"/>
  <c r="AE95" i="2"/>
  <c r="AA101" i="2"/>
  <c r="AA97" i="2"/>
  <c r="AD100" i="2"/>
  <c r="AD95" i="2"/>
  <c r="AD259" i="2"/>
  <c r="AC67" i="2"/>
  <c r="AC69" i="2"/>
  <c r="AC236" i="2"/>
  <c r="AC64" i="2"/>
  <c r="AC117" i="2"/>
  <c r="AC101" i="2"/>
  <c r="AB258" i="2"/>
  <c r="AB98" i="2"/>
  <c r="AB260" i="2"/>
  <c r="AC98" i="2"/>
  <c r="AC100" i="2"/>
  <c r="AC258" i="2"/>
  <c r="AE98" i="2"/>
  <c r="AE102" i="2"/>
  <c r="AE259" i="2"/>
  <c r="AA259" i="2"/>
  <c r="AA64" i="2"/>
  <c r="AA258" i="2"/>
  <c r="AA71" i="2"/>
  <c r="AB197" i="2"/>
  <c r="AE100" i="2"/>
  <c r="AA260" i="2"/>
  <c r="AD64" i="2"/>
  <c r="AD69" i="2"/>
  <c r="AB117" i="2"/>
  <c r="AB66" i="2"/>
  <c r="AD97" i="2"/>
  <c r="AD117" i="2"/>
  <c r="AB223" i="2"/>
  <c r="AA117" i="2"/>
  <c r="AA66" i="2"/>
  <c r="AD260" i="2"/>
  <c r="AA69" i="2"/>
  <c r="AC102" i="2"/>
  <c r="AC95" i="2"/>
  <c r="AA236" i="2"/>
  <c r="AA238" i="2" s="1"/>
  <c r="AB64" i="2"/>
  <c r="AB67" i="2"/>
  <c r="AE198" i="2" l="1"/>
  <c r="AC147" i="2"/>
  <c r="AC172" i="2"/>
  <c r="AC198" i="2"/>
  <c r="AC173" i="2"/>
  <c r="AB222" i="2"/>
  <c r="AB224" i="2" s="1"/>
  <c r="AB227" i="2"/>
  <c r="AB229" i="2" s="1"/>
  <c r="AE227" i="2"/>
  <c r="AE222" i="2"/>
  <c r="AE148" i="2"/>
  <c r="AE226" i="2"/>
  <c r="AE231" i="2"/>
  <c r="AE221" i="2"/>
  <c r="AE238" i="2"/>
  <c r="AD146" i="2"/>
  <c r="AD196" i="2"/>
  <c r="AA228" i="2"/>
  <c r="AA223" i="2"/>
  <c r="AA245" i="2"/>
  <c r="AA119" i="2"/>
  <c r="AA118" i="2"/>
  <c r="AA120" i="2"/>
  <c r="AA172" i="2"/>
  <c r="AA147" i="2"/>
  <c r="AA197" i="2"/>
  <c r="AE172" i="2"/>
  <c r="AE147" i="2"/>
  <c r="AE197" i="2"/>
  <c r="AD228" i="2"/>
  <c r="AD223" i="2"/>
  <c r="AD239" i="2"/>
  <c r="AB122" i="2"/>
  <c r="AB123" i="2"/>
  <c r="AB119" i="2"/>
  <c r="AB120" i="2"/>
  <c r="AB154" i="2"/>
  <c r="AB245" i="2"/>
  <c r="AB118" i="2"/>
  <c r="AA196" i="2"/>
  <c r="AA146" i="2"/>
  <c r="AA171" i="2"/>
  <c r="AC122" i="2"/>
  <c r="AC123" i="2"/>
  <c r="AD197" i="2"/>
  <c r="AD147" i="2"/>
  <c r="AD172" i="2"/>
  <c r="AE245" i="2"/>
  <c r="AE118" i="2"/>
  <c r="AE120" i="2"/>
  <c r="AE154" i="2"/>
  <c r="AE119" i="2"/>
  <c r="AD148" i="2"/>
  <c r="AD173" i="2"/>
  <c r="AD198" i="2"/>
  <c r="AD122" i="2"/>
  <c r="AD123" i="2"/>
  <c r="AC171" i="2"/>
  <c r="AC146" i="2"/>
  <c r="AC196" i="2"/>
  <c r="AE146" i="2"/>
  <c r="AE196" i="2"/>
  <c r="AE171" i="2"/>
  <c r="AA173" i="2"/>
  <c r="AA198" i="2"/>
  <c r="AA148" i="2"/>
  <c r="AB173" i="2"/>
  <c r="AB148" i="2"/>
  <c r="AB198" i="2"/>
  <c r="AC245" i="2"/>
  <c r="AC119" i="2"/>
  <c r="AC154" i="2"/>
  <c r="AC120" i="2"/>
  <c r="AC118" i="2"/>
  <c r="AA226" i="2"/>
  <c r="AA231" i="2"/>
  <c r="AA221" i="2"/>
  <c r="AD154" i="2"/>
  <c r="AD245" i="2"/>
  <c r="AD119" i="2"/>
  <c r="AD118" i="2"/>
  <c r="AD120" i="2"/>
  <c r="AA122" i="2"/>
  <c r="AA123" i="2"/>
  <c r="AB196" i="2"/>
  <c r="AB146" i="2"/>
  <c r="AB171" i="2"/>
  <c r="AC226" i="2"/>
  <c r="AC221" i="2"/>
  <c r="AC231" i="2"/>
  <c r="AC237" i="2"/>
  <c r="AC238" i="2"/>
  <c r="AE123" i="2"/>
  <c r="AE122" i="2"/>
  <c r="AA237" i="2"/>
  <c r="AA239" i="2" s="1"/>
  <c r="AD227" i="2"/>
  <c r="AD222" i="2"/>
  <c r="AE239" i="2" l="1"/>
  <c r="AE228" i="2"/>
  <c r="AE229" i="2" s="1"/>
  <c r="AE223" i="2"/>
  <c r="AE224" i="2" s="1"/>
  <c r="AE244" i="2"/>
  <c r="AE255" i="2" s="1"/>
  <c r="AE256" i="2" s="1"/>
  <c r="AE178" i="2"/>
  <c r="AE185" i="2" s="1"/>
  <c r="AE128" i="2"/>
  <c r="AE135" i="2" s="1"/>
  <c r="AE153" i="2"/>
  <c r="AE160" i="2" s="1"/>
  <c r="AC179" i="2"/>
  <c r="AC129" i="2"/>
  <c r="AE129" i="2"/>
  <c r="AE179" i="2"/>
  <c r="AA154" i="2"/>
  <c r="AA129" i="2"/>
  <c r="AA179" i="2"/>
  <c r="AC128" i="2"/>
  <c r="AC139" i="2" s="1"/>
  <c r="AC140" i="2" s="1"/>
  <c r="AC153" i="2"/>
  <c r="AC160" i="2" s="1"/>
  <c r="AC244" i="2"/>
  <c r="AC255" i="2" s="1"/>
  <c r="AC256" i="2" s="1"/>
  <c r="AC178" i="2"/>
  <c r="AC189" i="2" s="1"/>
  <c r="AC190" i="2" s="1"/>
  <c r="AD224" i="2"/>
  <c r="AC228" i="2"/>
  <c r="AC239" i="2"/>
  <c r="AC223" i="2"/>
  <c r="AD178" i="2"/>
  <c r="AD189" i="2" s="1"/>
  <c r="AD190" i="2" s="1"/>
  <c r="AD244" i="2"/>
  <c r="AD255" i="2" s="1"/>
  <c r="AD256" i="2" s="1"/>
  <c r="AD128" i="2"/>
  <c r="AD153" i="2"/>
  <c r="AD164" i="2" s="1"/>
  <c r="AD165" i="2" s="1"/>
  <c r="AD229" i="2"/>
  <c r="AD179" i="2"/>
  <c r="AD129" i="2"/>
  <c r="AA222" i="2"/>
  <c r="AA224" i="2" s="1"/>
  <c r="AA227" i="2"/>
  <c r="AA229" i="2" s="1"/>
  <c r="AC227" i="2"/>
  <c r="AC222" i="2"/>
  <c r="AA128" i="2"/>
  <c r="AA139" i="2" s="1"/>
  <c r="AA140" i="2" s="1"/>
  <c r="AA244" i="2"/>
  <c r="AA246" i="2" s="1"/>
  <c r="AA153" i="2"/>
  <c r="AA164" i="2" s="1"/>
  <c r="AA165" i="2" s="1"/>
  <c r="AA178" i="2"/>
  <c r="AA185" i="2" s="1"/>
  <c r="AE139" i="2"/>
  <c r="AE140" i="2" s="1"/>
  <c r="AE164" i="2"/>
  <c r="AE165" i="2" s="1"/>
  <c r="AB129" i="2"/>
  <c r="AB179" i="2"/>
  <c r="AB244" i="2"/>
  <c r="AB246" i="2" s="1"/>
  <c r="AB153" i="2"/>
  <c r="AB128" i="2"/>
  <c r="AB178" i="2"/>
  <c r="AE246" i="2" l="1"/>
  <c r="AE130" i="2" s="1"/>
  <c r="AE247" i="2"/>
  <c r="AE248" i="2" s="1"/>
  <c r="AE251" i="2"/>
  <c r="AE253" i="2" s="1"/>
  <c r="AC135" i="2"/>
  <c r="AC137" i="2" s="1"/>
  <c r="AC138" i="2" s="1"/>
  <c r="AE189" i="2"/>
  <c r="AE190" i="2" s="1"/>
  <c r="AB247" i="2"/>
  <c r="AB248" i="2" s="1"/>
  <c r="AC164" i="2"/>
  <c r="AC165" i="2" s="1"/>
  <c r="AD160" i="2"/>
  <c r="AD168" i="2" s="1"/>
  <c r="AD169" i="2" s="1"/>
  <c r="AC185" i="2"/>
  <c r="AC192" i="2" s="1"/>
  <c r="AE168" i="2"/>
  <c r="AE169" i="2" s="1"/>
  <c r="AE167" i="2"/>
  <c r="AE161" i="2"/>
  <c r="AE162" i="2"/>
  <c r="AE163" i="2" s="1"/>
  <c r="AE166" i="2"/>
  <c r="AC166" i="2"/>
  <c r="AC167" i="2"/>
  <c r="AC161" i="2"/>
  <c r="AA155" i="2"/>
  <c r="AA130" i="2"/>
  <c r="AA180" i="2"/>
  <c r="AC246" i="2"/>
  <c r="AB135" i="2"/>
  <c r="AB139" i="2"/>
  <c r="AB140" i="2" s="1"/>
  <c r="AA255" i="2"/>
  <c r="AA256" i="2" s="1"/>
  <c r="AA251" i="2"/>
  <c r="AD247" i="2"/>
  <c r="AA189" i="2"/>
  <c r="AA190" i="2" s="1"/>
  <c r="AC193" i="2"/>
  <c r="AC194" i="2" s="1"/>
  <c r="AC191" i="2"/>
  <c r="AD185" i="2"/>
  <c r="AE131" i="2"/>
  <c r="AC247" i="2"/>
  <c r="AA135" i="2"/>
  <c r="AB185" i="2"/>
  <c r="AB189" i="2"/>
  <c r="AB190" i="2" s="1"/>
  <c r="AA192" i="2"/>
  <c r="AA186" i="2"/>
  <c r="AA191" i="2"/>
  <c r="AE191" i="2"/>
  <c r="AE192" i="2"/>
  <c r="AE186" i="2"/>
  <c r="AB155" i="2"/>
  <c r="AB180" i="2"/>
  <c r="AB130" i="2"/>
  <c r="AE143" i="2"/>
  <c r="AE144" i="2" s="1"/>
  <c r="AE136" i="2"/>
  <c r="AE142" i="2"/>
  <c r="AE141" i="2"/>
  <c r="AD251" i="2"/>
  <c r="AC229" i="2"/>
  <c r="AE155" i="2"/>
  <c r="AE180" i="2"/>
  <c r="AB164" i="2"/>
  <c r="AB165" i="2" s="1"/>
  <c r="AB160" i="2"/>
  <c r="AB255" i="2"/>
  <c r="AB256" i="2" s="1"/>
  <c r="AB251" i="2"/>
  <c r="AC251" i="2"/>
  <c r="AD246" i="2"/>
  <c r="AA160" i="2"/>
  <c r="AD135" i="2"/>
  <c r="AD139" i="2"/>
  <c r="AD140" i="2" s="1"/>
  <c r="AC224" i="2"/>
  <c r="AA247" i="2"/>
  <c r="AE181" i="2" l="1"/>
  <c r="AC186" i="2"/>
  <c r="AC143" i="2"/>
  <c r="AC144" i="2" s="1"/>
  <c r="AE252" i="2"/>
  <c r="AE156" i="2"/>
  <c r="AE157" i="2" s="1"/>
  <c r="AE193" i="2"/>
  <c r="AE194" i="2" s="1"/>
  <c r="AC187" i="2"/>
  <c r="AC188" i="2" s="1"/>
  <c r="AB131" i="2"/>
  <c r="AB132" i="2" s="1"/>
  <c r="AA193" i="2"/>
  <c r="AA194" i="2" s="1"/>
  <c r="AD167" i="2"/>
  <c r="AD162" i="2"/>
  <c r="AD163" i="2" s="1"/>
  <c r="AC141" i="2"/>
  <c r="AC142" i="2"/>
  <c r="AB181" i="2"/>
  <c r="AB182" i="2" s="1"/>
  <c r="AD161" i="2"/>
  <c r="AC136" i="2"/>
  <c r="AD166" i="2"/>
  <c r="AB156" i="2"/>
  <c r="AB157" i="2" s="1"/>
  <c r="AE187" i="2"/>
  <c r="AE188" i="2" s="1"/>
  <c r="AC162" i="2"/>
  <c r="AC163" i="2" s="1"/>
  <c r="AE132" i="2"/>
  <c r="AC168" i="2"/>
  <c r="AC169" i="2" s="1"/>
  <c r="AA248" i="2"/>
  <c r="AA181" i="2"/>
  <c r="AA182" i="2" s="1"/>
  <c r="AA131" i="2"/>
  <c r="AA132" i="2" s="1"/>
  <c r="AA156" i="2"/>
  <c r="AA157" i="2" s="1"/>
  <c r="AD252" i="2"/>
  <c r="AD253" i="2"/>
  <c r="AD254" i="2" s="1"/>
  <c r="AD131" i="2"/>
  <c r="AD248" i="2"/>
  <c r="AD156" i="2"/>
  <c r="AD181" i="2"/>
  <c r="AB141" i="2"/>
  <c r="AB142" i="2"/>
  <c r="AB137" i="2"/>
  <c r="AB138" i="2" s="1"/>
  <c r="AB143" i="2"/>
  <c r="AB144" i="2" s="1"/>
  <c r="AB136" i="2"/>
  <c r="AB168" i="2"/>
  <c r="AB169" i="2" s="1"/>
  <c r="AB167" i="2"/>
  <c r="AB161" i="2"/>
  <c r="AB162" i="2"/>
  <c r="AB163" i="2" s="1"/>
  <c r="AB166" i="2"/>
  <c r="AA142" i="2"/>
  <c r="AA136" i="2"/>
  <c r="AA143" i="2"/>
  <c r="AA144" i="2" s="1"/>
  <c r="AA137" i="2"/>
  <c r="AA138" i="2" s="1"/>
  <c r="AA141" i="2"/>
  <c r="AD192" i="2"/>
  <c r="AD191" i="2"/>
  <c r="AD187" i="2"/>
  <c r="AD188" i="2" s="1"/>
  <c r="AD193" i="2"/>
  <c r="AD194" i="2" s="1"/>
  <c r="AD186" i="2"/>
  <c r="AA252" i="2"/>
  <c r="AA253" i="2"/>
  <c r="AA254" i="2" s="1"/>
  <c r="AC155" i="2"/>
  <c r="AC180" i="2"/>
  <c r="AC130" i="2"/>
  <c r="AD136" i="2"/>
  <c r="AD141" i="2"/>
  <c r="AD137" i="2"/>
  <c r="AD138" i="2" s="1"/>
  <c r="AD142" i="2"/>
  <c r="AD143" i="2"/>
  <c r="AD144" i="2" s="1"/>
  <c r="AB252" i="2"/>
  <c r="AB253" i="2"/>
  <c r="AB254" i="2" s="1"/>
  <c r="AA167" i="2"/>
  <c r="AA162" i="2"/>
  <c r="AA163" i="2" s="1"/>
  <c r="AA161" i="2"/>
  <c r="AA168" i="2"/>
  <c r="AA169" i="2" s="1"/>
  <c r="AA166" i="2"/>
  <c r="AB186" i="2"/>
  <c r="AB191" i="2"/>
  <c r="AB187" i="2"/>
  <c r="AB188" i="2" s="1"/>
  <c r="AB193" i="2"/>
  <c r="AB194" i="2" s="1"/>
  <c r="AB192" i="2"/>
  <c r="AE254" i="2"/>
  <c r="AE137" i="2"/>
  <c r="AE138" i="2" s="1"/>
  <c r="AE182" i="2"/>
  <c r="AD180" i="2"/>
  <c r="AD130" i="2"/>
  <c r="AD155" i="2"/>
  <c r="AC252" i="2"/>
  <c r="AC253" i="2"/>
  <c r="AC254" i="2" s="1"/>
  <c r="AA187" i="2"/>
  <c r="AA188" i="2" s="1"/>
  <c r="AC156" i="2"/>
  <c r="AC131" i="2"/>
  <c r="AC132" i="2" s="1"/>
  <c r="AC248" i="2"/>
  <c r="AC181" i="2"/>
  <c r="AC157" i="2" l="1"/>
  <c r="AD132" i="2"/>
  <c r="AD182" i="2"/>
  <c r="AC182" i="2"/>
  <c r="AD157" i="2"/>
</calcChain>
</file>

<file path=xl/comments1.xml><?xml version="1.0" encoding="utf-8"?>
<comments xmlns="http://schemas.openxmlformats.org/spreadsheetml/2006/main">
  <authors>
    <author>Reviewer</author>
    <author>Will Hopkins</author>
    <author>whopkins</author>
  </authors>
  <commentList>
    <comment ref="C2" authorId="0">
      <text>
        <r>
          <rPr>
            <sz val="8"/>
            <color indexed="81"/>
            <rFont val="Tahoma"/>
            <family val="2"/>
          </rPr>
          <t>Hopkins WG (2006).  Spreadsheets for analysis of controlled trials with adjustment for a predictor. Sportscience 10, 46-50 (sportsci.org/2006/wghcontrial.htm).</t>
        </r>
      </text>
    </comment>
    <comment ref="G2" authorId="1">
      <text>
        <r>
          <rPr>
            <sz val="8"/>
            <color indexed="81"/>
            <rFont val="Tahoma"/>
            <family val="2"/>
          </rPr>
          <t>Sept. Deleted rank transformation and made slight adjustment to  mechanistic inference cells.</t>
        </r>
      </text>
    </comment>
    <comment ref="H2" authorId="1">
      <text>
        <r>
          <rPr>
            <sz val="8"/>
            <color indexed="81"/>
            <rFont val="Tahoma"/>
            <family val="2"/>
          </rPr>
          <t>Oct: corrected approx ± form of confidence limits for percent effects.</t>
        </r>
      </text>
    </comment>
    <comment ref="I2" authorId="2">
      <text>
        <r>
          <rPr>
            <sz val="8"/>
            <color indexed="81"/>
            <rFont val="Tahoma"/>
            <family val="2"/>
          </rPr>
          <t>Nov: Removed p values!
July: added display of standardized thresholds in raw, percent and factor units.</t>
        </r>
      </text>
    </comment>
    <comment ref="J2" authorId="2">
      <text>
        <r>
          <rPr>
            <sz val="8"/>
            <color indexed="81"/>
            <rFont val="Tahoma"/>
            <family val="2"/>
          </rPr>
          <t>In mid- 2011 I added the grids of cells for threshold values and multiple inferences.</t>
        </r>
      </text>
    </comment>
    <comment ref="B21" authorId="1">
      <text>
        <r>
          <rPr>
            <sz val="8"/>
            <color indexed="81"/>
            <rFont val="Tahoma"/>
            <family val="2"/>
          </rPr>
          <t xml:space="preserve">Individual responses are evident as a bigger SD of change scores in the experimental group compared with that in the control group.  The square root of the difference in the variances of the change scores (the SDs squared) is itself an SD representing individual responses. This SD is the typical variation in the response to the treatment from individual to individual.  So, if the mean response is 3.0 units and the SD representing individual responses is 2.0 units, most individuals (about two-thirds) will have a response somewhere in the region of 1 to 5 (3-2 to 3+2). 
Confidence limits for the SD representing individual responses are based on the assumption that the sampling distribution of the difference of the variances of the change scores is normal (one of the methods used in Proc Mixed in the Statistical Analysis System).   The sampling variance of each variance is 2(variance)^2/(degrees of freedom).  The sampling variance of the difference in the variances is simply the sum of the two sampling variances, because the control and experimental groups are independent.
</t>
        </r>
      </text>
    </comment>
    <comment ref="B22" authorId="0">
      <text>
        <r>
          <rPr>
            <sz val="8"/>
            <color indexed="81"/>
            <rFont val="Tahoma"/>
            <family val="2"/>
          </rPr>
          <t xml:space="preserve">If you are using this spreadsheet, you will have obtained pre- and post-intervention data for a control and experimental group of subjects.  For noisy data, such as concentrations of some hormones, you sometimes get better precision by analyzing only the post data.  You can do that here by putting post values rather than post-pre change scores in an effects column.  The adjustment for the covariate will still work, but for measures that aren't noisy the adjustment may not be as successful. </t>
        </r>
      </text>
    </comment>
    <comment ref="B27" authorId="0">
      <text>
        <r>
          <rPr>
            <sz val="9"/>
            <color indexed="81"/>
            <rFont val="Tahoma"/>
            <family val="2"/>
          </rPr>
          <t>The value can be positive or negative.  
It is rare to work with the raw values of a variable when making inferences.  One possible exampe is a variable representing a Likert scale. Half a step on the scale is arguably the smallest important difference, because there is a sense in which it is the smallest perceptible difference.  So, if it is a 1-7 Likert pain scale, enter 0.5 as the smallest harmful effect.  If it is a 1-7 Likert energy scale, enter -0.5 as the smallest harmful effect.
Even so, standardization is usually the approach to smallest effects with Likert scales and other psychometrics.</t>
        </r>
      </text>
    </comment>
    <comment ref="B28" authorId="0">
      <text>
        <r>
          <rPr>
            <sz val="9"/>
            <color indexed="81"/>
            <rFont val="Tahoma"/>
            <family val="2"/>
          </rPr>
          <t xml:space="preserve">The value can be positive or negative, dependong on whether an increase is harmful or beneficial repsectively. Do not add a % sign.
A typcal value here for competitive athletic performance in a time trial could be a fraction of 1% (e.g., 0.25 for a track runner). </t>
        </r>
      </text>
    </comment>
    <comment ref="B29" authorId="0">
      <text>
        <r>
          <rPr>
            <sz val="9"/>
            <color indexed="81"/>
            <rFont val="Tahoma"/>
            <family val="2"/>
          </rPr>
          <t>The value here can be positive only, and is usually close to 1.0.  A typical smallest effect for the rate of something is a factor of 1.10, or a 10% increase.  So, enter 1.10 if a 10% increase is harmful.  If a factor decrease of the same magnitude is harmful, enter "=1/1.10" or 0.91.  
You get the same answers with factor effects as with percent effects, but when percents get large, it is easier to work with factors.  Also -10% is not quite the same as 1/1.10, and the difference gets bigger for larger percents.</t>
        </r>
      </text>
    </comment>
    <comment ref="B30" authorId="0">
      <text>
        <r>
          <rPr>
            <sz val="8"/>
            <color indexed="81"/>
            <rFont val="Tahoma"/>
            <family val="2"/>
          </rPr>
          <t>This is the smallest worthwhile difference or change in means in standardized (Cohen) units; that is, a fraction of the between-subject SD at baseline.  The default of 0.20 gives chances that the true effect is at least small.  Insert 0.6, 1.2 or 2.0 for chances the true effect is at least moderate, large or very large respectively.
Use standardized effects for mechanistic inferences and for clinical or practical inferences about physiological, biomechanical, psychological, anthropometric or other test scores or measures when there is no direct relationship to health, wealth or competitive performance.
Do NOT use standardized (Cohen) units to assess the magnitude of performance effects for athletes who compete as individuals, when the outcome of the competition is determined by a time, distance, or other number.  The smallest worthwhile effect for such measures is usually around 1%, more ore less depending on the measure and sport.  See the studies by Hopkins and colleagues for more.  Some physiological measures directly related to endurance performance (such as VO2max) can be assumed to have the same smallest worthwhile effect as mean power in the competitive event, around 1%.</t>
        </r>
      </text>
    </comment>
    <comment ref="B31" authorId="0">
      <text>
        <r>
          <rPr>
            <sz val="8"/>
            <color indexed="81"/>
            <rFont val="Tahoma"/>
            <family val="2"/>
          </rPr>
          <t>Used for comparison of between-subject SDs in the two groups in the pretests, which is not something you generally need to worry about.
Insert the smallest clinically or practically important difference between two SDs, expressed as a ratio, if you want estimates of the chances that the true value of the ratio is greater than this ratio and less than the inverse of this ratio.  (The spreadsheet also automatically calculates the chances that the true ratio is less than the inverse of this ratio.) 
The default ratio is 1.25, which I have based on the notion that this amount of extra variation in one group would increase the typical subject's value in that group (actually 0.8 of an SD either side of the mean) by 0.2 of an SD, which is the smallest important standardized change.</t>
        </r>
      </text>
    </comment>
    <comment ref="D33" authorId="0">
      <text>
        <r>
          <rPr>
            <sz val="8"/>
            <color indexed="81"/>
            <rFont val="Tahoma"/>
            <family val="2"/>
          </rPr>
          <t>The inferences are based on whatever level of confidence you choose here.  The default of 90% is adequate for a study with a single inference (outcome).</t>
        </r>
      </text>
    </comment>
    <comment ref="D34" authorId="0">
      <text>
        <r>
          <rPr>
            <sz val="9"/>
            <color indexed="81"/>
            <rFont val="Tahoma"/>
            <family val="2"/>
          </rPr>
          <t>Be aware that, the more inferences you make, the greater is the chance that you will make an error with at least one of them.  You can constrain the increase in error rate by inserting the number of independent inferences here.  Note that multiple inferences in a study are generally not independent; that is, if you make an error with one inference, there will be an increased chance that you will make an error with the others.  The approach here is therefore only approximate but generally more conservative than it needs to be, akin to the Bonferroni adjustment to make the alpha level smaller for statistical significance.
For multiple mechanistic inferences, the overall error is simply the chance that at least one of the true values is outside the confidence interval.  By making a wider confidence interval for two inferences (95% rather than 90%),  the chance that either true value is outside its interval goes down to 5% (from 10%), so the overall chance that one or both of them is outside is still only 5%+5% = 10% (more exactly, it's 100*(1-(1-0.05)^2) = 9.75%).    
For clinical inferences, there are two kinds of error:  Type 1, when you decide to use an effect that is actually harmful; and Type 2, when you decide not to use an effect that is actually beneficial.  My default values for these errors are 0.5% and 25%.  For two inferences, halving these values keeps the overall error rate at 0.5% and 25% for the worst-case scenario of the true values of both effects being the smallest clinically important values. 
The price you pay for being conservative with multiple inferences is an increase in the chance that you will have to declare effects unclear. The best way around this problem is to increase the sample size.  You can also be conservative more efficiently by adding up the chances of harm for the effects that you would declare beneficial or useful on their own.  If the sum is less than 0.5%, you can declare them all useful.  If the harm exceeds 0.5%, you have to declare one or more of them unclear.  Similarly, add up the chances of benefit for the effects that you would declare not to be beneficial or useful on their own. If the sum of the benefit is greater than 25% and the sum of their harm and the harm of any other beneficial effects is less than 0.5%, opt to use all of them and you will keep the overall Type 2 rate below 25%.  If the sum of harm exceeds 0.5%, some effects will have to be declared unclear (even though on their own they are clearly not beneficial or useful).</t>
        </r>
      </text>
    </comment>
    <comment ref="D35" authorId="0">
      <text>
        <r>
          <rPr>
            <sz val="9"/>
            <color indexed="81"/>
            <rFont val="Tahoma"/>
            <family val="2"/>
          </rPr>
          <t>The maximum risk of harm and minimum chance of benefit (for making decisions about effects with clinical or practical relevance) are tied to this confidence level.</t>
        </r>
      </text>
    </comment>
    <comment ref="J35" authorId="0">
      <text>
        <r>
          <rPr>
            <sz val="8"/>
            <color indexed="81"/>
            <rFont val="Tahoma"/>
            <family val="2"/>
          </rPr>
          <t xml:space="preserve">If you leave this cell blank, you get the usual unadjusted effects.  
To adjust the outcome to a certain value of X, insert its value here.  The usual value is the mean of X, but you can explore other values.   The SD of X is shown to guide your exploration!  A dashed line will appear in the figures at the chosen value.  The effect in each group is the value where the dashed line intersects the regression line.  The difference between the effect in each group is the outcome in the tables below. 
If the covariate is a binary variable coded as 0 and 1 to represent, for example, females and males, put 0 in this cell to get the effect for females, 1 to get the effect for males, and 0.5 to get the mean effect for females and males.  Use the value 0.5 for the mean,  even though there may be unequal numbers of males and females in the study.
Note that the individual responses are adjusted for X, too.  So, if there is a substantial effect of X on the outcome, adjusting for X will reduce the individual responses, because it is helping to account for them.
You can also quantify the effect of a difference in X by inserting values for differences in X in the "Show effects for </t>
        </r>
        <r>
          <rPr>
            <sz val="8"/>
            <color indexed="81"/>
            <rFont val="Symbol"/>
            <family val="1"/>
            <charset val="2"/>
          </rPr>
          <t>D</t>
        </r>
        <r>
          <rPr>
            <sz val="8"/>
            <color indexed="81"/>
            <rFont val="Tahoma"/>
            <family val="2"/>
          </rPr>
          <t>x" cell below.  Read the comment there.</t>
        </r>
      </text>
    </comment>
    <comment ref="Z35" authorId="0">
      <text>
        <r>
          <rPr>
            <sz val="8"/>
            <color indexed="81"/>
            <rFont val="Tahoma"/>
            <family val="2"/>
          </rPr>
          <t xml:space="preserve">If you leave this cell blank, you get the usual unadjusted effects.  
To adjust the outcome to a certain value of X, insert its value here.  The usual value is the mean of X, but you can explore other values.   The SD of X is shown to guide your exploration!  A dashed line will appear in the figures at the chosen value.  The effect in each group is the value where the dashed line intersects the regression line.  The difference between the effect in each group is the outcome in the tables below. 
If the covariate is a binary variable coded as 0 and 1 to represent, for example, females and males, put 0 in this cell to get the effect for females, 1 to get the effect for males, and 0.5 to get the mean effect for females and males.  Use the value 0.5 for the mean,  even though there may be unequal numbers of males and females in the study.
Note that the individual responses are adjusted for X, too.  So, if there is a substantial effect of X on the outcome, adjusting for X will reduce the individual responses, because it is helping to account for them.
You can also quantify the effect of a difference in X by inserting values for differences in X in the "Show effects for </t>
        </r>
        <r>
          <rPr>
            <sz val="8"/>
            <color indexed="81"/>
            <rFont val="Symbol"/>
            <family val="1"/>
            <charset val="2"/>
          </rPr>
          <t>D</t>
        </r>
        <r>
          <rPr>
            <sz val="8"/>
            <color indexed="81"/>
            <rFont val="Tahoma"/>
            <family val="2"/>
          </rPr>
          <t>x" cell below.  Read the comment there.</t>
        </r>
      </text>
    </comment>
    <comment ref="D36" authorId="0">
      <text>
        <r>
          <rPr>
            <sz val="9"/>
            <color indexed="81"/>
            <rFont val="Tahoma"/>
            <family val="2"/>
          </rPr>
          <t>Don't use an effect if its chance of harm exceeds this value. (And if the chance of benefit exceeds the value in the cell below, the effect has to be declared "unclear".)</t>
        </r>
      </text>
    </comment>
    <comment ref="D37" authorId="0">
      <text>
        <r>
          <rPr>
            <sz val="9"/>
            <color indexed="81"/>
            <rFont val="Tahoma"/>
            <family val="2"/>
          </rPr>
          <t>Consider using an effect if its chance of benefit exceeds this value.  Use it if its chance of harm is less than in the cell above; otherwise you have to declare it "unclear".</t>
        </r>
      </text>
    </comment>
    <comment ref="D38" authorId="0">
      <text>
        <r>
          <rPr>
            <sz val="9"/>
            <color indexed="81"/>
            <rFont val="Tahoma"/>
            <family val="2"/>
          </rPr>
          <t>Regardless of the risk of harm and chance of benefit, deciding to use an effect if the odds ratio exceeds this value is a less conservative approach to making a clinical or practical decision.</t>
        </r>
      </text>
    </comment>
    <comment ref="J38" authorId="0">
      <text>
        <r>
          <rPr>
            <sz val="8"/>
            <color indexed="81"/>
            <rFont val="Tahoma"/>
            <family val="2"/>
          </rPr>
          <t xml:space="preserve">If this cell is blank, the effects shown immediately below in the turquoise cells are the usual mean change in the dependent variable in each group (with or without adjustment, depending on whether you have anything in the "Adjusted to X=" cell).  The outcomes further down are the difference of the mean changes.
Insert a value in this cell to estimate the effect of a difference in X on the change in each group (in the turquoise cells) and on the difference in the changes (in the outcomes cells lower down).  The best value to insert is two SDs of X (insert 2x the SD shown in the cell above, not simply the number "2"), because the standardized effects for X are then consistent with Cohen's scale for correlations.  See the page on magnitudes at newstats.org for more on this issue.
If the covariate is a binary variable coded as 0 and 1 to represent, for example, females and males, put the number "1" in this cell to get the difference between females and males.
Note that you must have a number in the "Adjusted to X =" cell to get  estimates of the effects of </t>
        </r>
        <r>
          <rPr>
            <sz val="8"/>
            <color indexed="81"/>
            <rFont val="Symbol"/>
            <family val="1"/>
            <charset val="2"/>
          </rPr>
          <t>D</t>
        </r>
        <r>
          <rPr>
            <sz val="8"/>
            <color indexed="81"/>
            <rFont val="Tahoma"/>
            <family val="2"/>
          </rPr>
          <t>X.  Otherwise the effects shown will be the usual unadjusted changes and difference in changes in the mean.</t>
        </r>
      </text>
    </comment>
    <comment ref="Z38" authorId="0">
      <text>
        <r>
          <rPr>
            <sz val="8"/>
            <color indexed="81"/>
            <rFont val="Tahoma"/>
            <family val="2"/>
          </rPr>
          <t xml:space="preserve">If this cell is blank, the effects shown immediately below in the turquoise cells are the usual mean change in the dependent variable in each group (with or without adjustment, depending on whether you have anything in the "Adjusted to X=" cell).  The outcomes further down are the difference of the mean changes.
Insert a value in this cell to estimate the effect of a difference in X on the change in each group (in the turquoise cells) and on the difference in the changes (in the outcomes cells lower down).  The best value to insert is two SDs of X (insert 2x the SD shown in the cell above, not simply the number "2"), because the standardized effects for X are then consistent with Cohen's scale for correlations.  See the page on magnitudes at newstats.org for more on this issue.
If the covariate is a binary variable coded as 0 and 1 to represent, for example, females and males, put the number "1" in this cell to get the difference between females and males.
Note that you must have a number in the "Adjusted to X =" cell to get  estimates of the effects of </t>
        </r>
        <r>
          <rPr>
            <sz val="8"/>
            <color indexed="81"/>
            <rFont val="Symbol"/>
            <family val="1"/>
            <charset val="2"/>
          </rPr>
          <t>D</t>
        </r>
        <r>
          <rPr>
            <sz val="8"/>
            <color indexed="81"/>
            <rFont val="Tahoma"/>
            <family val="2"/>
          </rPr>
          <t>X.  Otherwise the effects shown will be the usual unadjusted changes and difference in changes in the mean.</t>
        </r>
      </text>
    </comment>
    <comment ref="R40" authorId="1">
      <text>
        <r>
          <rPr>
            <b/>
            <sz val="8"/>
            <color indexed="81"/>
            <rFont val="Tahoma"/>
            <family val="2"/>
          </rPr>
          <t>Will Hopkins:</t>
        </r>
        <r>
          <rPr>
            <sz val="8"/>
            <color indexed="81"/>
            <rFont val="Tahoma"/>
            <family val="2"/>
          </rPr>
          <t xml:space="preserve">
Use for most kinds of performance and physiological measures.</t>
        </r>
      </text>
    </comment>
    <comment ref="D41" authorId="0">
      <text>
        <r>
          <rPr>
            <sz val="8"/>
            <color indexed="81"/>
            <rFont val="Tahoma"/>
            <family val="2"/>
          </rPr>
          <t>To adjust for the pretest values of the dependent variable, copy and paste the chosen pretest values into this column.</t>
        </r>
      </text>
    </comment>
    <comment ref="E41" authorId="1">
      <text>
        <r>
          <rPr>
            <sz val="8"/>
            <color indexed="81"/>
            <rFont val="Tahoma"/>
            <family val="2"/>
          </rPr>
          <t>Do not insert a new pretest to the left of this column.
Do not delete this column.  Instead, keep the column and delete only the values for the subjects (the blue numbers), if you have only one pretest and you make it Pre2.
Do not copy-insert this column to make extra pretests.  Instead, copy-insert the next column.</t>
        </r>
      </text>
    </comment>
    <comment ref="F41" authorId="0">
      <text>
        <r>
          <rPr>
            <sz val="8"/>
            <color indexed="81"/>
            <rFont val="Tahoma"/>
            <family val="2"/>
          </rPr>
          <t>Insert more pretests by copying and inserting this column to the left of this column.  Label the extra pretest(s) as Pre1a, Pre1b etc. to avoid confusion.</t>
        </r>
      </text>
    </comment>
    <comment ref="G41" authorId="0">
      <text>
        <r>
          <rPr>
            <sz val="8"/>
            <color indexed="81"/>
            <rFont val="Tahoma"/>
            <family val="2"/>
          </rPr>
          <t>Insert a mid-test by copying and inserting this column to the left of this column.  Label the extra test Mid or whatever to avoid confusion.</t>
        </r>
      </text>
    </comment>
    <comment ref="H41" authorId="0">
      <text>
        <r>
          <rPr>
            <sz val="8"/>
            <color indexed="81"/>
            <rFont val="Tahoma"/>
            <family val="2"/>
          </rPr>
          <t>Insert any extra post-test by copying and inserting this column to the left of this column.  Label the extra test Post1a or whatever to avoid confusion.</t>
        </r>
      </text>
    </comment>
    <comment ref="I41" authorId="1">
      <text>
        <r>
          <rPr>
            <sz val="8"/>
            <color indexed="81"/>
            <rFont val="Tahoma"/>
            <family val="2"/>
          </rPr>
          <t>Do not add data to this column.  Instead, copy and insert an existing data column to the left of this column.  But do not copy and insert the first data column.</t>
        </r>
      </text>
    </comment>
    <comment ref="J41" authorId="1">
      <text>
        <r>
          <rPr>
            <sz val="8"/>
            <color indexed="81"/>
            <rFont val="Tahoma"/>
            <family val="2"/>
          </rPr>
          <t>Do not add data to this column.  Instead. copy and insert an existing column  to the right of the next or other columns.  But do not copy and insert the first effect column.</t>
        </r>
      </text>
    </comment>
    <comment ref="K41" authorId="0">
      <text>
        <r>
          <rPr>
            <sz val="8"/>
            <color indexed="81"/>
            <rFont val="Tahoma"/>
            <family val="2"/>
          </rPr>
          <t>Do not delete or copy-insert this column.  Instead, copy and insert any of the other effect columns.</t>
        </r>
      </text>
    </comment>
    <comment ref="O41" authorId="1">
      <text>
        <r>
          <rPr>
            <sz val="8"/>
            <color indexed="81"/>
            <rFont val="Tahoma"/>
            <family val="2"/>
          </rPr>
          <t>You can put any sensible combination of pre and/or post tests here.  Transfer the formula to the matching column in the tables of transformed values, if necessary. Make additional columns for other effects by copying and inserting this or any effect column other than the firwt.</t>
        </r>
      </text>
    </comment>
    <comment ref="T41" authorId="1">
      <text>
        <r>
          <rPr>
            <b/>
            <sz val="8"/>
            <color indexed="81"/>
            <rFont val="Tahoma"/>
            <family val="2"/>
          </rPr>
          <t>Will Hopkins:</t>
        </r>
        <r>
          <rPr>
            <sz val="8"/>
            <color indexed="81"/>
            <rFont val="Tahoma"/>
            <family val="2"/>
          </rPr>
          <t xml:space="preserve">
This predictor variable is not currently transformed.</t>
        </r>
      </text>
    </comment>
    <comment ref="U41" authorId="1">
      <text>
        <r>
          <rPr>
            <b/>
            <sz val="8"/>
            <color indexed="81"/>
            <rFont val="Tahoma"/>
            <family val="2"/>
          </rPr>
          <t>Will Hopkins:</t>
        </r>
        <r>
          <rPr>
            <sz val="8"/>
            <color indexed="81"/>
            <rFont val="Tahoma"/>
            <family val="2"/>
          </rPr>
          <t xml:space="preserve">
Do not insert a new pretest to the left of this column.
Do not delete this column.  Instead, keep the column and delete only the values for the subjects (the blue numbers), if you have only one pretest and you make it Pre2.
Do not copy-insert this column to make extra pretests.  Instead, copy-insert the next column.</t>
        </r>
      </text>
    </comment>
    <comment ref="V41" authorId="0">
      <text>
        <r>
          <rPr>
            <sz val="8"/>
            <color indexed="81"/>
            <rFont val="Tahoma"/>
            <family val="2"/>
          </rPr>
          <t>Insert more pretests by copying and inserting this column to the left of this column.  Label the extra pretest(s) as Pre1a, Pre1b etc. to avoid confusion.</t>
        </r>
      </text>
    </comment>
    <comment ref="W41" authorId="0">
      <text>
        <r>
          <rPr>
            <sz val="8"/>
            <color indexed="81"/>
            <rFont val="Tahoma"/>
            <family val="2"/>
          </rPr>
          <t>Insert a mid-test by copying and inserting this column to the left of this column.  Label the extra test Mid or whatever to avoid confusion.</t>
        </r>
      </text>
    </comment>
    <comment ref="X41" authorId="0">
      <text>
        <r>
          <rPr>
            <sz val="8"/>
            <color indexed="81"/>
            <rFont val="Tahoma"/>
            <family val="2"/>
          </rPr>
          <t>Insert any extra post-test by copying and inserting this column to the left of this column.  Label the extra test Post1a or whatever to avoid confusion.</t>
        </r>
      </text>
    </comment>
    <comment ref="Y41" authorId="1">
      <text>
        <r>
          <rPr>
            <b/>
            <sz val="8"/>
            <color indexed="81"/>
            <rFont val="Tahoma"/>
            <family val="2"/>
          </rPr>
          <t>Will Hopkins:</t>
        </r>
        <r>
          <rPr>
            <sz val="8"/>
            <color indexed="81"/>
            <rFont val="Tahoma"/>
            <family val="2"/>
          </rPr>
          <t xml:space="preserve">
Do not add data to this column.  Instead, copy and insert an existing data column to the left of this column.  But do not copy and insert the first data column.</t>
        </r>
      </text>
    </comment>
    <comment ref="Z41" authorId="1">
      <text>
        <r>
          <rPr>
            <b/>
            <sz val="8"/>
            <color indexed="81"/>
            <rFont val="Tahoma"/>
            <family val="2"/>
          </rPr>
          <t>Will Hopkins:</t>
        </r>
        <r>
          <rPr>
            <sz val="8"/>
            <color indexed="81"/>
            <rFont val="Tahoma"/>
            <family val="2"/>
          </rPr>
          <t xml:space="preserve">
Do not add data to this column.  Instead. copy and insert an existing column  to the right of the next or other columns.  But do not copy and insert the first effect column.</t>
        </r>
      </text>
    </comment>
    <comment ref="AA41" authorId="0">
      <text>
        <r>
          <rPr>
            <sz val="8"/>
            <color indexed="81"/>
            <rFont val="Tahoma"/>
            <family val="2"/>
          </rPr>
          <t>Do not delete or copy-insert this column.  Instead, copy and insert any of the other effect columns.</t>
        </r>
      </text>
    </comment>
    <comment ref="AE41" authorId="1">
      <text>
        <r>
          <rPr>
            <b/>
            <sz val="8"/>
            <color indexed="81"/>
            <rFont val="Tahoma"/>
            <family val="2"/>
          </rPr>
          <t>Will Hopkins:</t>
        </r>
        <r>
          <rPr>
            <sz val="8"/>
            <color indexed="81"/>
            <rFont val="Tahoma"/>
            <family val="2"/>
          </rPr>
          <t xml:space="preserve">
You can put any sensible combination of pre and/or post tests here.  Transfer the formula to the matching column in the tables of transformed values, if necessary. Make additional columns for other effects by copying and inserting this or any effect column other than the firwt.</t>
        </r>
      </text>
    </comment>
    <comment ref="J62" authorId="0">
      <text>
        <r>
          <rPr>
            <sz val="8"/>
            <color indexed="81"/>
            <rFont val="Tahoma"/>
            <family val="2"/>
          </rPr>
          <t xml:space="preserve">If you inserted a value for difference in X in the "Show effects for </t>
        </r>
        <r>
          <rPr>
            <sz val="8"/>
            <color indexed="81"/>
            <rFont val="Symbol"/>
            <family val="1"/>
            <charset val="2"/>
          </rPr>
          <t>D</t>
        </r>
        <r>
          <rPr>
            <sz val="8"/>
            <color indexed="81"/>
            <rFont val="Tahoma"/>
            <family val="2"/>
          </rPr>
          <t>X" cell, the values shown are the predicted effect of the difference in X.  Otherwise the values are the mean change (adjusted or unadjusted for X, depending on whether or not you put a value for X in the "Adjusted for X =" cell).</t>
        </r>
      </text>
    </comment>
    <comment ref="Z62" authorId="0">
      <text>
        <r>
          <rPr>
            <sz val="8"/>
            <color indexed="81"/>
            <rFont val="Tahoma"/>
            <family val="2"/>
          </rPr>
          <t xml:space="preserve">If you inserted a value for difference in X in the "Show effects for </t>
        </r>
        <r>
          <rPr>
            <sz val="8"/>
            <color indexed="81"/>
            <rFont val="Symbol"/>
            <family val="1"/>
            <charset val="2"/>
          </rPr>
          <t>D</t>
        </r>
        <r>
          <rPr>
            <sz val="8"/>
            <color indexed="81"/>
            <rFont val="Tahoma"/>
            <family val="2"/>
          </rPr>
          <t>X" cell, the values shown are the predicted effect of the difference in X.  Otherwise the values are the mean change (adjusted or unadjusted for X, depending on whether or not you put a value for X in the "Adjusted for X =" cell).</t>
        </r>
      </text>
    </comment>
    <comment ref="J63" authorId="1">
      <text>
        <r>
          <rPr>
            <sz val="8"/>
            <color indexed="81"/>
            <rFont val="Tahoma"/>
            <family val="2"/>
          </rPr>
          <t>The SD is the standard deviation of the change scores.  The SEE (standard error of the estimate) is the standard deviation of the change scores after the effect of X has been taken into account.  If X has little effect on the change scores, the SEE will be similar to the SD; otherwise it will be smaller.
When the SD (or SEE) of the exptal group is bigger than that in the control group, you have evidence of individual responses to the treatment (or individual responses still not accounted for by X)..</t>
        </r>
      </text>
    </comment>
    <comment ref="Z63" authorId="1">
      <text>
        <r>
          <rPr>
            <sz val="8"/>
            <color indexed="81"/>
            <rFont val="Tahoma"/>
            <family val="2"/>
          </rPr>
          <t>The SD is the standard deviation of the change scores.  The SEE (standard error of the estimate) is the standard deviation of the change scores after the effect of X has been taken into account.  If X has little effect on the change scores, the SEE will be similar to the SD; otherwise it will be smaller.
When the SD (or SEE) of the exptal group is bigger than that in the control group, you have evidence of individual responses to the treatment (or individual responses still not accounted for by X)..</t>
        </r>
      </text>
    </comment>
    <comment ref="J64" authorId="0">
      <text>
        <r>
          <rPr>
            <sz val="8"/>
            <color indexed="81"/>
            <rFont val="Tahoma"/>
            <family val="2"/>
          </rPr>
          <t>SE = standard error.  Do not report this statistic.  It is used to calculate confidence limits.</t>
        </r>
      </text>
    </comment>
    <comment ref="Z64" authorId="0">
      <text>
        <r>
          <rPr>
            <sz val="8"/>
            <color indexed="81"/>
            <rFont val="Tahoma"/>
            <family val="2"/>
          </rPr>
          <t>SE = standard error.  Do not report this statistic.  It is used to calculate confidence limits.</t>
        </r>
      </text>
    </comment>
    <comment ref="J93" authorId="0">
      <text>
        <r>
          <rPr>
            <sz val="8"/>
            <color indexed="81"/>
            <rFont val="Tahoma"/>
            <family val="2"/>
          </rPr>
          <t xml:space="preserve">If you inserted a value for difference in X in the "Show effects for </t>
        </r>
        <r>
          <rPr>
            <sz val="8"/>
            <color indexed="81"/>
            <rFont val="Symbol"/>
            <family val="1"/>
            <charset val="2"/>
          </rPr>
          <t>D</t>
        </r>
        <r>
          <rPr>
            <sz val="8"/>
            <color indexed="81"/>
            <rFont val="Tahoma"/>
            <family val="2"/>
          </rPr>
          <t>X" cell, the values shown are the predicted effect of the difference in X.  Otherwise the values are the mean change (adjusted or unadjusted for X, depending on whether or not you put a value for X in the "Adjusted for X =" cell).</t>
        </r>
      </text>
    </comment>
    <comment ref="Z93" authorId="0">
      <text>
        <r>
          <rPr>
            <sz val="8"/>
            <color indexed="81"/>
            <rFont val="Tahoma"/>
            <family val="2"/>
          </rPr>
          <t xml:space="preserve">If you inserted a value for difference in X in the "Show effects for </t>
        </r>
        <r>
          <rPr>
            <sz val="8"/>
            <color indexed="81"/>
            <rFont val="Symbol"/>
            <family val="1"/>
            <charset val="2"/>
          </rPr>
          <t>D</t>
        </r>
        <r>
          <rPr>
            <sz val="8"/>
            <color indexed="81"/>
            <rFont val="Tahoma"/>
            <family val="2"/>
          </rPr>
          <t>X" cell, the values shown are the predicted effect of the difference in X.  Otherwise the values are the mean change (adjusted or unadjusted for X, depending on whether or not you put a value for X in the "Adjusted for X =" cell).</t>
        </r>
      </text>
    </comment>
    <comment ref="J94" authorId="1">
      <text>
        <r>
          <rPr>
            <sz val="8"/>
            <color indexed="81"/>
            <rFont val="Tahoma"/>
            <family val="2"/>
          </rPr>
          <t>The SD is the standard deviation of the change scores.  The SEE (standard error of the estimate) is the standard deviation of the change scores after the effect of X has been taken into account.  If X has little effect on the change scores, the SEE will be similar to the SD; otherwise it will be smaller.
When the SD (or SEE) of the exptal group is bigger than that in the control group, you have evidence of individual responses to the treatment (or individual responses still not accounted for by X)..</t>
        </r>
      </text>
    </comment>
    <comment ref="Z94" authorId="1">
      <text>
        <r>
          <rPr>
            <sz val="8"/>
            <color indexed="81"/>
            <rFont val="Tahoma"/>
            <family val="2"/>
          </rPr>
          <t>The SD is the standard deviation of the change scores.  The SEE (standard error of the estimate) is the standard deviation of the change scores after the effect of X has been taken into account.  If X has little effect on the change scores, the SEE will be similar to the SD; otherwise it will be smaller.
When the SD (or SEE) of the exptal group is bigger than that in the control group, you have evidence of individual responses to the treatment (or individual responses still not accounted for by X)..</t>
        </r>
      </text>
    </comment>
    <comment ref="J95" authorId="0">
      <text>
        <r>
          <rPr>
            <sz val="8"/>
            <color indexed="81"/>
            <rFont val="Tahoma"/>
            <family val="2"/>
          </rPr>
          <t>SE = standard error.  Do not report this statistic.  It is used to calculate confidence limits.</t>
        </r>
      </text>
    </comment>
    <comment ref="Z95" authorId="0">
      <text>
        <r>
          <rPr>
            <sz val="8"/>
            <color indexed="81"/>
            <rFont val="Tahoma"/>
            <family val="2"/>
          </rPr>
          <t>SE = standard error.  Do not report this statistic.  It is used to calculate confidence limits.</t>
        </r>
      </text>
    </comment>
    <comment ref="I108" authorId="0">
      <text>
        <r>
          <rPr>
            <sz val="8"/>
            <color indexed="81"/>
            <rFont val="Tahoma"/>
            <family val="2"/>
          </rPr>
          <t>#DIV/0! is the correct value when you do not adjust for X.</t>
        </r>
      </text>
    </comment>
    <comment ref="Y108" authorId="0">
      <text>
        <r>
          <rPr>
            <sz val="8"/>
            <color indexed="81"/>
            <rFont val="Tahoma"/>
            <family val="2"/>
          </rPr>
          <t>#DIV/0! is the correct value when you do not adjust for X.</t>
        </r>
      </text>
    </comment>
    <comment ref="C111" authorId="0">
      <text>
        <r>
          <rPr>
            <sz val="8"/>
            <color indexed="81"/>
            <rFont val="Tahoma"/>
            <family val="2"/>
          </rPr>
          <t>Used as denominator for standardized (Cohen) differences.  If you have more than one pretest, you may want to average their SDs or choose a particular pretest.  Place a "1" in the cells on the right to choose the pretest(s).  
If you insert extra pretests correctly (by copying the 2nd pretest column and inserting it between the 1st and 2nd pretest columns), the functionality of this feature will be retained.</t>
        </r>
      </text>
    </comment>
    <comment ref="S111" authorId="0">
      <text>
        <r>
          <rPr>
            <sz val="8"/>
            <color indexed="81"/>
            <rFont val="Tahoma"/>
            <family val="2"/>
          </rPr>
          <t>Used as denominator for standardized (Cohen) differences.  If you have more than one pretest, you may want to average their SDs or choose a particular pretest.  Place a "1" in the cells on the right to choose the pretest(s).  
If you insert extra pretests correctly (by copying the 2nd pretest column and inserting it between the 1st and 2nd pretest columns), the functionality of this feature will be retained.</t>
        </r>
      </text>
    </comment>
    <comment ref="C113" authorId="0">
      <text>
        <r>
          <rPr>
            <sz val="8"/>
            <color indexed="81"/>
            <rFont val="Tahoma"/>
            <family val="2"/>
          </rPr>
          <t>The mean SD of the pretests indicated by "1"s in the above row.  The mean is obtained by averaging the variances and taking the square root.  Show this value in any publication as the SD used for standardizing.</t>
        </r>
      </text>
    </comment>
    <comment ref="S113" authorId="0">
      <text>
        <r>
          <rPr>
            <sz val="8"/>
            <color indexed="81"/>
            <rFont val="Tahoma"/>
            <family val="2"/>
          </rPr>
          <t>The mean SD of the pretests indicated by "1"s in the above row.  The mean is obtained by averaging the variances and taking the square root.  Show this value in any publication as the SD used for standardizing.</t>
        </r>
      </text>
    </comment>
    <comment ref="C115" authorId="0">
      <text>
        <r>
          <rPr>
            <sz val="9"/>
            <color indexed="81"/>
            <rFont val="Tahoma"/>
            <family val="2"/>
          </rPr>
          <t>This is the value used in the calculation of the standardized effects.  It is the SD above divided by (1-3/(4v-1)) to remove the small-sample bias in the estimates of standardized effects.  v is the degrees of freedom for the SD, here approximated by the mean pretest sample size -1.</t>
        </r>
      </text>
    </comment>
    <comment ref="S115" authorId="0">
      <text>
        <r>
          <rPr>
            <sz val="9"/>
            <color indexed="81"/>
            <rFont val="Tahoma"/>
            <family val="2"/>
          </rPr>
          <t>This is the value used in the calculation of the standardized effects.  It is the SD above divided by (1-3/(4v-1)) to remove the small-sample bias in the estimates of standardized effects.  v is the degrees of freedom for the SD, here approximated by the mean pretest sample size -1.</t>
        </r>
      </text>
    </comment>
    <comment ref="C116" authorId="1">
      <text>
        <r>
          <rPr>
            <sz val="8"/>
            <color indexed="81"/>
            <rFont val="Tahoma"/>
            <family val="2"/>
          </rPr>
          <t>These effects appear again in their appropriate tables below, with confidence limits and other useful statistics.  Note that it doesn't make sense to interpret confidence limits or clinical chances for comparisons of pretest means of control and experimental groups in a controlled trial, unless the two samples somehow represent different populations.</t>
        </r>
      </text>
    </comment>
    <comment ref="J116" authorId="1">
      <text>
        <r>
          <rPr>
            <sz val="8"/>
            <color indexed="81"/>
            <rFont val="Tahoma"/>
            <family val="2"/>
          </rPr>
          <t>These effects appear again in their appropriate tables below, with confidence limits and other useful statistics.</t>
        </r>
      </text>
    </comment>
    <comment ref="S116" authorId="1">
      <text>
        <r>
          <rPr>
            <sz val="8"/>
            <color indexed="81"/>
            <rFont val="Tahoma"/>
            <family val="2"/>
          </rPr>
          <t>These effects appear again in their appropriate tables below, with confidence limits and other useful statistics.  Note that it doesn't make sense to interpret confidence limits or clinical chances for comparisons of pretest means of control and experimental groups in a controlled trial.</t>
        </r>
      </text>
    </comment>
    <comment ref="Z116" authorId="1">
      <text>
        <r>
          <rPr>
            <sz val="8"/>
            <color indexed="81"/>
            <rFont val="Tahoma"/>
            <family val="2"/>
          </rPr>
          <t>These effects appear again in their appropriate tables below, with confidence limits and other useful statistics.</t>
        </r>
      </text>
    </comment>
    <comment ref="B126" authorId="1">
      <text>
        <r>
          <rPr>
            <sz val="8"/>
            <color indexed="81"/>
            <rFont val="Tahoma"/>
            <family val="2"/>
          </rPr>
          <t>When assessing the balance of assignment to the groups, interpret the magnitude of the observed difference, but do not use the confidence limits or chances to make an inference about the population or true difference.  (It doesn't make sense to.)</t>
        </r>
      </text>
    </comment>
    <comment ref="R126" authorId="1">
      <text>
        <r>
          <rPr>
            <sz val="8"/>
            <color indexed="81"/>
            <rFont val="Tahoma"/>
            <family val="2"/>
          </rPr>
          <t>When assessing the balance of assignment to the groups, interpret the magnitude of the observed difference, but do not use the confidence limits or chances to make an inference about the population or true difference.  (It doesn't make sense to.)</t>
        </r>
      </text>
    </comment>
    <comment ref="D133" authorId="0">
      <text>
        <r>
          <rPr>
            <sz val="9"/>
            <color indexed="81"/>
            <rFont val="Tahoma"/>
            <family val="2"/>
          </rPr>
          <t xml:space="preserve">You are not usually interested in an inference about the difference in the mean value of the covariate between the control and experimental groups.  If you do want such an inference, you will have to insert a positive value for the smallest important difference for the X variable in this cell, and a negative value in the cell below this cell. Or simply go with the standardized difference of 0.20 in the panel below this panel.  You will be provided with only a mechanistic inference. </t>
        </r>
      </text>
    </comment>
    <comment ref="B135"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I135"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R135"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Y135"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B146" authorId="0">
      <text>
        <r>
          <rPr>
            <sz val="8"/>
            <color indexed="81"/>
            <rFont val="Tahoma"/>
            <family val="2"/>
          </rPr>
          <t>You would not normally use this statistic for comparisons at baseline.  It's a measure of individual differences between the treatment and control groups, akin to the ratio of the standard deviations.  A positive value indicates a larger standard deviation in the treatment group; a negative value indicates the opposite.</t>
        </r>
      </text>
    </comment>
    <comment ref="I146" authorId="0">
      <text>
        <r>
          <rPr>
            <sz val="8"/>
            <color indexed="81"/>
            <rFont val="Tahoma"/>
            <family val="2"/>
          </rPr>
          <t>A positive value represents individual responses to the experimental treatment.  A negative value indicates more within-subject variation in the control group than in the intervention group (probably because of sampling variation).</t>
        </r>
      </text>
    </comment>
    <comment ref="R146" authorId="0">
      <text>
        <r>
          <rPr>
            <sz val="8"/>
            <color indexed="81"/>
            <rFont val="Tahoma"/>
            <family val="2"/>
          </rPr>
          <t>You would not normally use this statistic.  It's a measure of individual differences between the treatment and control groups, akin to the ratio of the standard deviations.  A positive value indicates a larger standard deviation in the treatment group; a negative value indicates the opposite.</t>
        </r>
      </text>
    </comment>
    <comment ref="Y146" authorId="0">
      <text>
        <r>
          <rPr>
            <sz val="8"/>
            <color indexed="81"/>
            <rFont val="Tahoma"/>
            <family val="2"/>
          </rPr>
          <t>A positive value represents individual responses to the experimental treatment.  A negative value indicates more within-subject variation in the control group than in the intervention group (probably because of sampling variation).</t>
        </r>
      </text>
    </comment>
    <comment ref="R151" authorId="1">
      <text>
        <r>
          <rPr>
            <sz val="8"/>
            <color indexed="81"/>
            <rFont val="Tahoma"/>
            <family val="2"/>
          </rPr>
          <t>When assessing the balance of assignment to the groups, interpret the magnitude of the observed difference, but do not use the confidence limits or chances to make an inference about the population or true difference.  (It doesn't make sense to.)</t>
        </r>
      </text>
    </comment>
    <comment ref="R160"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Y160"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R171" authorId="0">
      <text>
        <r>
          <rPr>
            <sz val="8"/>
            <color indexed="81"/>
            <rFont val="Tahoma"/>
            <family val="2"/>
          </rPr>
          <t>You would not normally use this statistic.  It's a measure of individual differences between the treatment and control groups, akin to the ratio of the standard deviations.  A positive value indicates a larger standard deviation in the treatment group; a negative value indicates the opposite.</t>
        </r>
      </text>
    </comment>
    <comment ref="Y171" authorId="0">
      <text>
        <r>
          <rPr>
            <sz val="8"/>
            <color indexed="81"/>
            <rFont val="Tahoma"/>
            <family val="2"/>
          </rPr>
          <t>A positive value represents individual responses to the experimental treatment.  A negative value indicates more within-subject variation in the control group than in the intervention group (probably because of sampling variation).</t>
        </r>
      </text>
    </comment>
    <comment ref="B176" authorId="1">
      <text>
        <r>
          <rPr>
            <sz val="8"/>
            <color indexed="81"/>
            <rFont val="Tahoma"/>
            <family val="2"/>
          </rPr>
          <t xml:space="preserve">When assessing the balance of assignment to the groups, interpret the magnitude of the observed difference, but do not use the confidence limits or chances to make an inference about the population or true difference.  (It doesn't make sense to.)
</t>
        </r>
      </text>
    </comment>
    <comment ref="R176" authorId="1">
      <text>
        <r>
          <rPr>
            <sz val="8"/>
            <color indexed="81"/>
            <rFont val="Tahoma"/>
            <family val="2"/>
          </rPr>
          <t xml:space="preserve">When assessing the balance of assignment to the groups, interpret the magnitude of the observed difference, but do not use the confidence limits or chances to make an inference about the population or true difference.  (It doesn't make sense to.)
</t>
        </r>
      </text>
    </comment>
    <comment ref="B185"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I185"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R185"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Y185"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almost certainly</t>
        </r>
      </text>
    </comment>
    <comment ref="C195" authorId="1">
      <text>
        <r>
          <rPr>
            <sz val="8"/>
            <color indexed="81"/>
            <rFont val="Tahoma"/>
            <family val="2"/>
          </rPr>
          <t>This SD is the unweighted mean of the SDs of the two groups, which is the appropriate SD for standardizing the difference in means of the groups.    It is multiplied by the factor 1/(1-3/(4v-1)) to remove the small-sample bias in the estimatess of standardized effects, where v is the degrees of freedom for the SD.  Don't show this adjusted value in a publication. 
Note that the SD for the dependent variable in the pre-tests here will be a little different from the pre-test SD in the effects table on the right, which is derived by merging the groups and by combining pretests.</t>
        </r>
      </text>
    </comment>
    <comment ref="J195" authorId="1">
      <text>
        <r>
          <rPr>
            <sz val="8"/>
            <color indexed="81"/>
            <rFont val="Tahoma"/>
            <family val="2"/>
          </rPr>
          <t>The mean SD of the pretests chosen for Cohenizing magnitudes.  The mean is obtained by averaging the variances and taking the square root.  It is multiplied by the factor 1/(1-3/(4v-1)) to remove the small-sample bias in the estimatess of standardized effects. Don't show this adjusted value in a publication.  This SD is reproduced here to reduce problems when columns or tables are copied.</t>
        </r>
      </text>
    </comment>
    <comment ref="S195" authorId="1">
      <text>
        <r>
          <rPr>
            <sz val="8"/>
            <color indexed="81"/>
            <rFont val="Tahoma"/>
            <family val="2"/>
          </rPr>
          <t>This SD is the unweighted mean of the SDs of the two groups, which is the appropriate SD for standardizing the difference in means of the groups.    It is multiplied by the factor 1/(1-3/(4v-1)) to remove the small-sample bias in the estimatess of standardized effects, where v is the degrees of freedom for the SD.  Don't show this adjusted value in a publication. 
Note that the SD for the dependent variable in the pre-tests here will be a little different from the pre-test SD in the effects table on the right, which is derived by merging the groups and by combining pretests.</t>
        </r>
      </text>
    </comment>
    <comment ref="Z195" authorId="1">
      <text>
        <r>
          <rPr>
            <sz val="8"/>
            <color indexed="81"/>
            <rFont val="Tahoma"/>
            <family val="2"/>
          </rPr>
          <t>The mean SD of the pretests chosen for Cohenizing magnitudes.  The mean is obtained by averaging the variances and taking the square root.  It is multiplied by the factor 1/(1-3/(4v-1)) to remove the small-sample bias in the estimatess of standardized effects. Don't show this adjusted value in a publication.  This SD is reproduced here to reduce problems when columns or tables are copied.</t>
        </r>
      </text>
    </comment>
    <comment ref="B196" authorId="0">
      <text>
        <r>
          <rPr>
            <sz val="8"/>
            <color indexed="81"/>
            <rFont val="Tahoma"/>
            <family val="2"/>
          </rPr>
          <t>You would not normally use this statistic.  It's a measure of individual differences between the treatment and control groups, akin to the ratio of the standard deviations.  A positive value indicates a larger standard deviation in the treatment group; a negative value indicates the opposite.</t>
        </r>
      </text>
    </comment>
    <comment ref="I196" authorId="0">
      <text>
        <r>
          <rPr>
            <sz val="8"/>
            <color indexed="81"/>
            <rFont val="Tahoma"/>
            <family val="2"/>
          </rPr>
          <t>A positive value represents individual responses to the experimental treatment.  A negative value indicates more within-subject variation in the control group than in the intervention group (probably because of sampling variation).</t>
        </r>
      </text>
    </comment>
    <comment ref="R196" authorId="0">
      <text>
        <r>
          <rPr>
            <sz val="8"/>
            <color indexed="81"/>
            <rFont val="Tahoma"/>
            <family val="2"/>
          </rPr>
          <t>You would not normally use this statistic.  It's a measure of individual differences between the treatment and control groups, akin to the ratio of the standard deviations.  A positive value indicates a larger standard deviation in the treatment group; a negative value indicates the opposite.</t>
        </r>
      </text>
    </comment>
    <comment ref="Y196" authorId="0">
      <text>
        <r>
          <rPr>
            <sz val="8"/>
            <color indexed="81"/>
            <rFont val="Tahoma"/>
            <family val="2"/>
          </rPr>
          <t>A positive value represents individual responses to the experimental treatment.  A negative value indicates more within-subject variation in the control group than in the intervention group (probably because of sampling variation).</t>
        </r>
      </text>
    </comment>
    <comment ref="B201" authorId="1">
      <text>
        <r>
          <rPr>
            <sz val="8"/>
            <color indexed="81"/>
            <rFont val="Tahoma"/>
            <family val="2"/>
          </rPr>
          <t>When assessing the balance of assignment to the groups, interpret the magnitude of the observed difference, but do not use the confidence limits or chances to make an inference about the population or true difference.  (It doesn't make sense to.)</t>
        </r>
      </text>
    </comment>
    <comment ref="R201" authorId="1">
      <text>
        <r>
          <rPr>
            <sz val="8"/>
            <color indexed="81"/>
            <rFont val="Tahoma"/>
            <family val="2"/>
          </rPr>
          <t>When assessing the balance of assignment to the groups, interpret the magnitude of the observed difference, but do not use the confidence limits or chances to make an inference about the population or true difference.  (It doesn't make sense to.)</t>
        </r>
      </text>
    </comment>
    <comment ref="B209"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 almost certainly</t>
        </r>
      </text>
    </comment>
    <comment ref="R209" authorId="0">
      <text>
        <r>
          <rPr>
            <sz val="8"/>
            <color indexed="81"/>
            <rFont val="Tahoma"/>
            <family val="2"/>
          </rPr>
          <t>The qualitative probabilities are defined by the following scale:
&lt;0.5%, almost certainly not
&lt;5%, very unlikely
&lt;25%, unlikely, probably not
25-75%, possibly, possibly not
&gt;75%, likely, probably
&gt;95%, very likely
&gt;99.5
%, almost certainly</t>
        </r>
      </text>
    </comment>
    <comment ref="I217" authorId="1">
      <text>
        <r>
          <rPr>
            <sz val="8"/>
            <color indexed="81"/>
            <rFont val="Tahoma"/>
            <family val="2"/>
          </rPr>
          <t>Here the SD of the effect has been converted to a typical error of measurement by dividing by root 2.  Use this statistic (and its confidence limits) to compare with estimates of typical error from comparable reliability studies.</t>
        </r>
      </text>
    </comment>
    <comment ref="Y217" authorId="1">
      <text>
        <r>
          <rPr>
            <sz val="8"/>
            <color indexed="81"/>
            <rFont val="Tahoma"/>
            <family val="2"/>
          </rPr>
          <t>Here the SD of the effect has been converted to a typical error of measurement by dividing by root 2.  Use this statistic (and its confidence limits) to compare with estimates of typical error from comparable reliability studies.</t>
        </r>
      </text>
    </comment>
    <comment ref="Z229" authorId="1">
      <text>
        <r>
          <rPr>
            <sz val="8"/>
            <color indexed="81"/>
            <rFont val="Tahoma"/>
            <family val="2"/>
          </rPr>
          <t>The uncertainty factor here is correct, but it gives a misleading impression that the estimate of the SD is precise.</t>
        </r>
      </text>
    </comment>
    <comment ref="R242" authorId="1">
      <text>
        <r>
          <rPr>
            <sz val="8"/>
            <color indexed="81"/>
            <rFont val="Tahoma"/>
            <family val="2"/>
          </rPr>
          <t>This table is used to get parts of  the other tables.  Don't modify it or take values from it directly.</t>
        </r>
      </text>
    </comment>
    <comment ref="Y242" authorId="1">
      <text>
        <r>
          <rPr>
            <sz val="8"/>
            <color indexed="81"/>
            <rFont val="Tahoma"/>
            <family val="2"/>
          </rPr>
          <t>This table is used to get parts of  the other tables.  Don't modify it or take values from it directly.</t>
        </r>
      </text>
    </comment>
    <comment ref="R249" authorId="0">
      <text>
        <r>
          <rPr>
            <sz val="8"/>
            <color indexed="81"/>
            <rFont val="Tahoma"/>
            <family val="2"/>
          </rPr>
          <t>The value shown is the Cohen threshold.  in transformed units. Don't change it here.</t>
        </r>
      </text>
    </comment>
    <comment ref="Y249" authorId="0">
      <text>
        <r>
          <rPr>
            <sz val="8"/>
            <color indexed="81"/>
            <rFont val="Tahoma"/>
            <family val="2"/>
          </rPr>
          <t>The value shown is the Cohen threshold.  in transformed units. Don't change it here.</t>
        </r>
      </text>
    </comment>
  </commentList>
</comments>
</file>

<file path=xl/sharedStrings.xml><?xml version="1.0" encoding="utf-8"?>
<sst xmlns="http://schemas.openxmlformats.org/spreadsheetml/2006/main" count="554" uniqueCount="233">
  <si>
    <t>Name</t>
  </si>
  <si>
    <t>Sam</t>
  </si>
  <si>
    <t>mean</t>
  </si>
  <si>
    <t>SD</t>
  </si>
  <si>
    <t>Raw Data</t>
  </si>
  <si>
    <t>Log-transformed Data</t>
  </si>
  <si>
    <t>back-transformed mean</t>
  </si>
  <si>
    <t>SD as a CV (%)</t>
  </si>
  <si>
    <r>
      <t xml:space="preserve">SD as </t>
    </r>
    <r>
      <rPr>
        <sz val="10"/>
        <rFont val="Symbol"/>
        <family val="1"/>
        <charset val="2"/>
      </rPr>
      <t>´¤¸</t>
    </r>
    <r>
      <rPr>
        <sz val="10"/>
        <rFont val="Arial"/>
        <family val="2"/>
      </rPr>
      <t xml:space="preserve"> factor</t>
    </r>
  </si>
  <si>
    <t xml:space="preserve">lower </t>
  </si>
  <si>
    <t xml:space="preserve">upper </t>
  </si>
  <si>
    <t xml:space="preserve"> "±"</t>
  </si>
  <si>
    <t>trivial</t>
  </si>
  <si>
    <t>+ ive</t>
  </si>
  <si>
    <t>- ive</t>
  </si>
  <si>
    <t>Chances (% and qualitative) that the true value of the statistic is clinically, practically or mechanistially…</t>
  </si>
  <si>
    <t>Outcomes in raw units</t>
  </si>
  <si>
    <t>Outcomes as factors</t>
  </si>
  <si>
    <t>Outcomes as percents</t>
  </si>
  <si>
    <t>Outcomes in log units</t>
  </si>
  <si>
    <t>Group</t>
  </si>
  <si>
    <t>Control</t>
  </si>
  <si>
    <t>Exptal</t>
  </si>
  <si>
    <t>other effect</t>
  </si>
  <si>
    <r>
      <t xml:space="preserve"> "</t>
    </r>
    <r>
      <rPr>
        <sz val="11"/>
        <rFont val="Symbol"/>
        <family val="1"/>
        <charset val="2"/>
      </rPr>
      <t>´¤¸</t>
    </r>
    <r>
      <rPr>
        <sz val="10"/>
        <rFont val="Arial"/>
        <family val="2"/>
      </rPr>
      <t xml:space="preserve">" </t>
    </r>
  </si>
  <si>
    <t>transformed SD</t>
  </si>
  <si>
    <t>pre-test SD for Cohen</t>
  </si>
  <si>
    <t xml:space="preserve">    Double-click on one of the mean or SD cells to check that you have done this operation properly.  Colored boxes should enclose all your data.</t>
  </si>
  <si>
    <t>Chris</t>
  </si>
  <si>
    <t>Courtney</t>
  </si>
  <si>
    <t>Drew</t>
  </si>
  <si>
    <t>Jo</t>
  </si>
  <si>
    <t>Jesse</t>
  </si>
  <si>
    <t>Kelly</t>
  </si>
  <si>
    <t>Kerry</t>
  </si>
  <si>
    <t>Lee</t>
  </si>
  <si>
    <t>Leslie</t>
  </si>
  <si>
    <t>Morgan</t>
  </si>
  <si>
    <t>Robin</t>
  </si>
  <si>
    <t>Alex</t>
  </si>
  <si>
    <t>Kim</t>
  </si>
  <si>
    <t>Pat</t>
  </si>
  <si>
    <t>Dylan</t>
  </si>
  <si>
    <t>Difference in group means in raw units</t>
  </si>
  <si>
    <t>Ratio of group SDs</t>
  </si>
  <si>
    <t>read
me</t>
  </si>
  <si>
    <t>n</t>
  </si>
  <si>
    <r>
      <t xml:space="preserve">Replace values of the cells in </t>
    </r>
    <r>
      <rPr>
        <b/>
        <sz val="10"/>
        <color indexed="12"/>
        <rFont val="Arial"/>
        <family val="2"/>
      </rPr>
      <t>blue.</t>
    </r>
    <r>
      <rPr>
        <sz val="10"/>
        <color indexed="12"/>
        <rFont val="Arial"/>
        <family val="2"/>
      </rPr>
      <t xml:space="preserve">  </t>
    </r>
    <r>
      <rPr>
        <sz val="10"/>
        <rFont val="Arial"/>
        <family val="2"/>
      </rPr>
      <t>Useful sta</t>
    </r>
    <r>
      <rPr>
        <sz val="10"/>
        <rFont val="Arial"/>
      </rPr>
      <t xml:space="preserve">tistics are in </t>
    </r>
    <r>
      <rPr>
        <b/>
        <sz val="10"/>
        <color indexed="10"/>
        <rFont val="Arial"/>
        <family val="2"/>
      </rPr>
      <t>red</t>
    </r>
    <r>
      <rPr>
        <sz val="10"/>
        <rFont val="Arial"/>
        <family val="2"/>
      </rPr>
      <t>. Don't touch these cells or cells with values in black.</t>
    </r>
  </si>
  <si>
    <t>Diff. in mean in pretest:</t>
  </si>
  <si>
    <t>Effects</t>
  </si>
  <si>
    <t>Trials</t>
  </si>
  <si>
    <t>Log units</t>
  </si>
  <si>
    <t>Percent units</t>
  </si>
  <si>
    <t>SD as CV (%)</t>
  </si>
  <si>
    <r>
      <t xml:space="preserve"> "</t>
    </r>
    <r>
      <rPr>
        <sz val="11"/>
        <rFont val="Symbol"/>
        <family val="1"/>
        <charset val="2"/>
      </rPr>
      <t>´¤¸</t>
    </r>
    <r>
      <rPr>
        <sz val="10"/>
        <rFont val="Arial"/>
        <family val="2"/>
      </rPr>
      <t>" approx.</t>
    </r>
  </si>
  <si>
    <t>Factor units</t>
  </si>
  <si>
    <t>SD as factor</t>
  </si>
  <si>
    <t>Cohen units</t>
  </si>
  <si>
    <t>Raw units</t>
  </si>
  <si>
    <r>
      <t xml:space="preserve">If you have </t>
    </r>
    <r>
      <rPr>
        <b/>
        <sz val="10"/>
        <rFont val="Arial"/>
        <family val="2"/>
      </rPr>
      <t>three or more groups</t>
    </r>
    <r>
      <rPr>
        <sz val="10"/>
        <rFont val="Arial"/>
      </rPr>
      <t>, use a whole new sheet for each pairwise comparison.</t>
    </r>
  </si>
  <si>
    <t>Difference in group means in log units</t>
  </si>
  <si>
    <t xml:space="preserve"> "±" approx.</t>
  </si>
  <si>
    <t>SE</t>
  </si>
  <si>
    <t>Post2-Post1</t>
  </si>
  <si>
    <t xml:space="preserve">    If you include the first row, you will corrupt the background calculations.  You can delete or clear the first row, though. </t>
  </si>
  <si>
    <r>
      <t>Missing values</t>
    </r>
    <r>
      <rPr>
        <sz val="10"/>
        <rFont val="Arial"/>
      </rPr>
      <t xml:space="preserve"> can be blanks, periods, or any non-numeric character(s). The effects columns have code to prevent blanks being treated as zeros.</t>
    </r>
  </si>
  <si>
    <t xml:space="preserve">    Get the formula right in the first subject's cell, including the code to fix missing values.  Drag down the formula to the other subjects.</t>
  </si>
  <si>
    <t>deg. freedom</t>
  </si>
  <si>
    <t>Pre2-Pre1</t>
  </si>
  <si>
    <t>Post1-Pre2</t>
  </si>
  <si>
    <t>Post2-Pre2</t>
  </si>
  <si>
    <t>Kylie</t>
  </si>
  <si>
    <t>Lauren</t>
  </si>
  <si>
    <t>Lindsay</t>
  </si>
  <si>
    <t>Reilly</t>
  </si>
  <si>
    <t>Sage</t>
  </si>
  <si>
    <t>Sidney</t>
  </si>
  <si>
    <t>Terry</t>
  </si>
  <si>
    <t>Tristan</t>
  </si>
  <si>
    <t>Vic</t>
  </si>
  <si>
    <t>Wynn</t>
  </si>
  <si>
    <t>Zane</t>
  </si>
  <si>
    <t>Ariel</t>
  </si>
  <si>
    <t>Ashley</t>
  </si>
  <si>
    <t>Bernie</t>
  </si>
  <si>
    <t>Casey</t>
  </si>
  <si>
    <t>Corey</t>
  </si>
  <si>
    <t>Devon</t>
  </si>
  <si>
    <t>Frances</t>
  </si>
  <si>
    <t>Gene</t>
  </si>
  <si>
    <t>Jaimie</t>
  </si>
  <si>
    <t>Jean</t>
  </si>
  <si>
    <t xml:space="preserve">Jody </t>
  </si>
  <si>
    <t>Jordan</t>
  </si>
  <si>
    <r>
      <t xml:space="preserve"> "</t>
    </r>
    <r>
      <rPr>
        <sz val="11"/>
        <color indexed="23"/>
        <rFont val="Symbol"/>
        <family val="1"/>
        <charset val="2"/>
      </rPr>
      <t>´¤¸</t>
    </r>
    <r>
      <rPr>
        <sz val="10"/>
        <color indexed="23"/>
        <rFont val="Arial"/>
        <family val="2"/>
      </rPr>
      <t xml:space="preserve">" </t>
    </r>
  </si>
  <si>
    <t>Choose pretest SDs for Cohen</t>
  </si>
  <si>
    <t>X</t>
  </si>
  <si>
    <t>Pretest SDs included in Cohen</t>
  </si>
  <si>
    <t>Adjusted to X =</t>
  </si>
  <si>
    <t>Wil</t>
  </si>
  <si>
    <t>Grand max</t>
  </si>
  <si>
    <t>Grand min</t>
  </si>
  <si>
    <t>Both groups combined:</t>
  </si>
  <si>
    <t>Mean X</t>
  </si>
  <si>
    <t>SD X</t>
  </si>
  <si>
    <r>
      <t xml:space="preserve">Show effects for </t>
    </r>
    <r>
      <rPr>
        <b/>
        <sz val="10"/>
        <rFont val="Symbol"/>
        <family val="1"/>
        <charset val="2"/>
      </rPr>
      <t>D</t>
    </r>
    <r>
      <rPr>
        <b/>
        <sz val="10"/>
        <rFont val="Arial"/>
        <family val="2"/>
      </rPr>
      <t>X =</t>
    </r>
  </si>
  <si>
    <r>
      <t xml:space="preserve">mean, or effect of </t>
    </r>
    <r>
      <rPr>
        <sz val="10"/>
        <rFont val="Symbol"/>
        <family val="1"/>
        <charset val="2"/>
      </rPr>
      <t>D</t>
    </r>
    <r>
      <rPr>
        <sz val="10"/>
        <rFont val="Arial"/>
        <family val="2"/>
      </rPr>
      <t>X</t>
    </r>
  </si>
  <si>
    <t>SD, or SEE</t>
  </si>
  <si>
    <t>SE of effect</t>
  </si>
  <si>
    <r>
      <t xml:space="preserve">mean or effect of </t>
    </r>
    <r>
      <rPr>
        <sz val="10"/>
        <rFont val="Symbol"/>
        <family val="1"/>
        <charset val="2"/>
      </rPr>
      <t>D</t>
    </r>
    <r>
      <rPr>
        <sz val="10"/>
        <rFont val="Arial"/>
      </rPr>
      <t>X (%)</t>
    </r>
  </si>
  <si>
    <r>
      <t xml:space="preserve">mean or effect of </t>
    </r>
    <r>
      <rPr>
        <sz val="10"/>
        <rFont val="Symbol"/>
        <family val="1"/>
        <charset val="2"/>
      </rPr>
      <t>D</t>
    </r>
    <r>
      <rPr>
        <sz val="10"/>
        <rFont val="Arial"/>
        <family val="2"/>
      </rPr>
      <t>X as factor</t>
    </r>
  </si>
  <si>
    <t>SD or SEE as a CV (%)</t>
  </si>
  <si>
    <r>
      <t xml:space="preserve">SD or SEE as </t>
    </r>
    <r>
      <rPr>
        <sz val="10"/>
        <rFont val="Symbol"/>
        <family val="1"/>
        <charset val="2"/>
      </rPr>
      <t>´¤¸</t>
    </r>
    <r>
      <rPr>
        <sz val="10"/>
        <rFont val="Arial"/>
        <family val="2"/>
      </rPr>
      <t xml:space="preserve"> factor</t>
    </r>
  </si>
  <si>
    <t>degrees of freedom</t>
  </si>
  <si>
    <t>Diff. in changes in mean:</t>
  </si>
  <si>
    <r>
      <t>Hover cursor</t>
    </r>
    <r>
      <rPr>
        <sz val="10"/>
        <rFont val="Arial"/>
      </rPr>
      <t xml:space="preserve"> for comment on </t>
    </r>
    <r>
      <rPr>
        <b/>
        <sz val="10"/>
        <rFont val="Arial"/>
        <family val="2"/>
      </rPr>
      <t>individual responses</t>
    </r>
    <r>
      <rPr>
        <sz val="10"/>
        <rFont val="Arial"/>
      </rPr>
      <t>.</t>
    </r>
  </si>
  <si>
    <r>
      <t xml:space="preserve">You may change cells in </t>
    </r>
    <r>
      <rPr>
        <b/>
        <sz val="10"/>
        <color indexed="20"/>
        <rFont val="Arial"/>
        <family val="2"/>
      </rPr>
      <t>plum</t>
    </r>
    <r>
      <rPr>
        <sz val="10"/>
        <rFont val="Arial"/>
        <family val="2"/>
      </rPr>
      <t xml:space="preserve"> to see the effect on whatever, but remember to "control-z" or otherwise undo to restore the formulae in these cells.</t>
    </r>
  </si>
  <si>
    <t>SD for Cohen</t>
  </si>
  <si>
    <t>Difference in group means as percents</t>
  </si>
  <si>
    <t>Difference in group means as factors</t>
  </si>
  <si>
    <t xml:space="preserve">     You will have to copy and insert a new column in the same relative place into any transformed data you use.  The transformation will be automatic.</t>
  </si>
  <si>
    <r>
      <t>Do NOT use cut (Ctrl+X) or drag to replace or move data</t>
    </r>
    <r>
      <rPr>
        <sz val="10"/>
        <rFont val="Arial"/>
        <family val="2"/>
      </rPr>
      <t xml:space="preserve">. Instead, </t>
    </r>
    <r>
      <rPr>
        <b/>
        <sz val="10"/>
        <rFont val="Arial"/>
        <family val="2"/>
      </rPr>
      <t>copy (Ctrl+C), then paste (Ctrl+V)</t>
    </r>
    <r>
      <rPr>
        <sz val="10"/>
        <rFont val="Arial"/>
        <family val="2"/>
      </rPr>
      <t xml:space="preserve"> onto existing data or into blank cells.</t>
    </r>
  </si>
  <si>
    <r>
      <t xml:space="preserve">To insert a new column for an </t>
    </r>
    <r>
      <rPr>
        <b/>
        <sz val="10"/>
        <rFont val="Arial"/>
        <family val="2"/>
      </rPr>
      <t>extra effect</t>
    </r>
    <r>
      <rPr>
        <sz val="10"/>
        <rFont val="Arial"/>
        <family val="2"/>
      </rPr>
      <t xml:space="preserve">, </t>
    </r>
    <r>
      <rPr>
        <b/>
        <sz val="10"/>
        <rFont val="Arial"/>
        <family val="2"/>
      </rPr>
      <t>copy and insert</t>
    </r>
    <r>
      <rPr>
        <sz val="10"/>
        <rFont val="Arial"/>
        <family val="2"/>
      </rPr>
      <t xml:space="preserve"> an existing effect column (but </t>
    </r>
    <r>
      <rPr>
        <b/>
        <sz val="10"/>
        <rFont val="Arial"/>
        <family val="2"/>
      </rPr>
      <t>not the Pre2-Pre1 column</t>
    </r>
    <r>
      <rPr>
        <sz val="10"/>
        <rFont val="Arial"/>
        <family val="2"/>
      </rPr>
      <t>), then…</t>
    </r>
  </si>
  <si>
    <t xml:space="preserve">    Copy and paste the new raw effect cells directly into the corresponding effect cells for any transformation you use.</t>
  </si>
  <si>
    <t>Insertion or deletion of rows or columns corrupts the size of some comment boxes, thanks to a bug in the software.  See Bill Gates for an explanation.</t>
  </si>
  <si>
    <t>Confidence limits</t>
  </si>
  <si>
    <t>Indiv. responses as SD</t>
  </si>
  <si>
    <t>Threshold for clinical chances</t>
  </si>
  <si>
    <t>Difference in means</t>
  </si>
  <si>
    <t>Degrees of freedom</t>
  </si>
  <si>
    <t>Confidence level (%)</t>
  </si>
  <si>
    <t>Confidence
limits (approx.)</t>
  </si>
  <si>
    <t>Indiv. responses as CV (%)</t>
  </si>
  <si>
    <t>Difference in means (%)</t>
  </si>
  <si>
    <t>Diff. in means as factor</t>
  </si>
  <si>
    <t>Confidence
limits</t>
  </si>
  <si>
    <t>Indiv. responses as SD factor</t>
  </si>
  <si>
    <t>SD Cohenized</t>
  </si>
  <si>
    <t>Raw SD</t>
  </si>
  <si>
    <t>Ratio SDexptal / SDcontrol</t>
  </si>
  <si>
    <t>Threshold ratio for</t>
  </si>
  <si>
    <r>
      <t xml:space="preserve">If you have </t>
    </r>
    <r>
      <rPr>
        <b/>
        <sz val="10"/>
        <rFont val="Arial"/>
        <family val="2"/>
      </rPr>
      <t>less observations</t>
    </r>
    <r>
      <rPr>
        <sz val="10"/>
        <rFont val="Arial"/>
      </rPr>
      <t xml:space="preserve"> than shown here,</t>
    </r>
    <r>
      <rPr>
        <sz val="10"/>
        <rFont val="Arial"/>
        <family val="2"/>
      </rPr>
      <t xml:space="preserve"> select the entire row(s) and hit the Delete key rather than right-click deleting the rows(s) entirely.</t>
    </r>
  </si>
  <si>
    <r>
      <t xml:space="preserve">If you have </t>
    </r>
    <r>
      <rPr>
        <b/>
        <sz val="10"/>
        <rFont val="Arial"/>
        <family val="2"/>
      </rPr>
      <t>more observations</t>
    </r>
    <r>
      <rPr>
        <sz val="10"/>
        <rFont val="Arial"/>
        <family val="2"/>
      </rPr>
      <t>, select entire row(s) and right-click COPY and right-click INSERT them anywhere below (but NOT including) the first row of the group.</t>
    </r>
  </si>
  <si>
    <r>
      <t xml:space="preserve">If you have an </t>
    </r>
    <r>
      <rPr>
        <b/>
        <sz val="10"/>
        <rFont val="Arial"/>
        <family val="2"/>
      </rPr>
      <t>extra trial</t>
    </r>
    <r>
      <rPr>
        <sz val="10"/>
        <rFont val="Arial"/>
      </rPr>
      <t xml:space="preserve">, select an entire existing trial column, then right-click copy and right-click insert it. </t>
    </r>
    <r>
      <rPr>
        <b/>
        <sz val="10"/>
        <rFont val="Arial"/>
        <family val="2"/>
      </rPr>
      <t>Don't do this with the Pre1 column</t>
    </r>
    <r>
      <rPr>
        <sz val="10"/>
        <rFont val="Arial"/>
      </rPr>
      <t>.</t>
    </r>
  </si>
  <si>
    <t>diff. in means of raw values</t>
  </si>
  <si>
    <t>standardized (Cohen) diff. in means</t>
  </si>
  <si>
    <t xml:space="preserve">standardized (Cohen) diff. in means </t>
  </si>
  <si>
    <t>diff. in means of log-trans. values</t>
  </si>
  <si>
    <t>diff. in mean of log-trans. values</t>
  </si>
  <si>
    <t>diff. in means (%)</t>
  </si>
  <si>
    <t>Trial:</t>
  </si>
  <si>
    <t>mean:</t>
  </si>
  <si>
    <t>SD+:</t>
  </si>
  <si>
    <t>SD-:</t>
  </si>
  <si>
    <r>
      <t xml:space="preserve">Std'ized mean or effect of </t>
    </r>
    <r>
      <rPr>
        <sz val="10"/>
        <rFont val="Symbol"/>
        <family val="1"/>
        <charset val="2"/>
      </rPr>
      <t>D</t>
    </r>
    <r>
      <rPr>
        <sz val="10"/>
        <rFont val="Arial"/>
        <family val="2"/>
      </rPr>
      <t>X</t>
    </r>
  </si>
  <si>
    <t>Std'ized SD or SEE</t>
  </si>
  <si>
    <t>Individual differences as SD</t>
  </si>
  <si>
    <t>Indiv. diff's as Cohenized SD</t>
  </si>
  <si>
    <t>Indiv. resp's as Cohenized SD</t>
  </si>
  <si>
    <t>Individual diff's as SD factor</t>
  </si>
  <si>
    <t>Individual differences as CV (%)</t>
  </si>
  <si>
    <t>X axis:</t>
  </si>
  <si>
    <r>
      <t xml:space="preserve">Hover cursor </t>
    </r>
    <r>
      <rPr>
        <sz val="10"/>
        <rFont val="Arial"/>
        <family val="2"/>
      </rPr>
      <t>for comment on use of this spreadsheet for posts-only analysis.</t>
    </r>
  </si>
  <si>
    <r>
      <t>If you have</t>
    </r>
    <r>
      <rPr>
        <b/>
        <sz val="10"/>
        <rFont val="Arial"/>
        <family val="2"/>
      </rPr>
      <t xml:space="preserve"> less than four trials,</t>
    </r>
    <r>
      <rPr>
        <sz val="10"/>
        <rFont val="Arial"/>
        <family val="2"/>
      </rPr>
      <t xml:space="preserve"> make the superfluous trial(s) identical to other trial(s), to prevent a bug-related error message with a blank trial.</t>
    </r>
  </si>
  <si>
    <t>Pre1</t>
  </si>
  <si>
    <t>Pre2</t>
  </si>
  <si>
    <t>Post1</t>
  </si>
  <si>
    <t>Post2</t>
  </si>
  <si>
    <t xml:space="preserve">    But missing X values must be blank or the graphs are corrupted.  Also, set missing effects values to blank or they plot as zeros.</t>
  </si>
  <si>
    <t>Raw</t>
  </si>
  <si>
    <t>Percent</t>
  </si>
  <si>
    <t>Factor</t>
  </si>
  <si>
    <t>Standardized</t>
  </si>
  <si>
    <t>Thresholds for inferences</t>
  </si>
  <si>
    <t xml:space="preserve">SD ratio </t>
  </si>
  <si>
    <t>Number of independent inferences</t>
  </si>
  <si>
    <t>Confidence level for multiple inferences (%)</t>
  </si>
  <si>
    <t>substantially &gt;</t>
  </si>
  <si>
    <t>substantially &lt;</t>
  </si>
  <si>
    <t>Error of measurement for control gp</t>
  </si>
  <si>
    <t>greater than threshold</t>
  </si>
  <si>
    <t>less than threshold</t>
  </si>
  <si>
    <t>Odds ratio for benefit/harm</t>
  </si>
  <si>
    <t>ANALYSIS OF A PRE-POST PARALLEL-GROUPS CONTROLLED TRIAL WITH ADJUSTMENT FOR A PREDICTOR</t>
  </si>
  <si>
    <t>(for analysis of raw data)</t>
  </si>
  <si>
    <t>(for analysis of log-transformed data)</t>
  </si>
  <si>
    <t>(for comparing SDs at baseline)</t>
  </si>
  <si>
    <t>Maximum risk of harm (%)</t>
  </si>
  <si>
    <t>Minimum chance of benefit (%)</t>
  </si>
  <si>
    <t>-?</t>
  </si>
  <si>
    <t>Insert threshold value for smallest</t>
  </si>
  <si>
    <t xml:space="preserve">important or harmful effect </t>
  </si>
  <si>
    <t xml:space="preserve"> Threshold for opposite or beneficial</t>
  </si>
  <si>
    <t>Outcomes in standardized (Cohen) units</t>
  </si>
  <si>
    <t>Difference in group means in standardized (Cohen) units</t>
  </si>
  <si>
    <t xml:space="preserve"> effect (provided automatically)</t>
  </si>
  <si>
    <t>Benefit/harm odds ratio</t>
  </si>
  <si>
    <t>Mean pretest SD</t>
  </si>
  <si>
    <t>Adjusted SD for Cohen</t>
  </si>
  <si>
    <t>Mean pretest SD as a CV (%)</t>
  </si>
  <si>
    <r>
      <t xml:space="preserve">Mean pretest SD as a </t>
    </r>
    <r>
      <rPr>
        <sz val="10"/>
        <rFont val="Symbol"/>
        <family val="1"/>
        <charset val="2"/>
      </rPr>
      <t>´</t>
    </r>
    <r>
      <rPr>
        <sz val="10"/>
        <rFont val="Symbol"/>
        <family val="1"/>
        <charset val="2"/>
      </rPr>
      <t>/¸</t>
    </r>
    <r>
      <rPr>
        <sz val="10"/>
        <rFont val="Arial"/>
      </rPr>
      <t xml:space="preserve"> factor</t>
    </r>
  </si>
  <si>
    <t>diff. in means as a factor</t>
  </si>
  <si>
    <t>?</t>
  </si>
  <si>
    <t>(for all analyses)</t>
  </si>
  <si>
    <t>effect via standardization</t>
  </si>
  <si>
    <t xml:space="preserve"> effect via standardization</t>
  </si>
  <si>
    <t>Threshold for important or harmful</t>
  </si>
  <si>
    <r>
      <t>Hover cursor</t>
    </r>
    <r>
      <rPr>
        <sz val="10"/>
        <rFont val="Arial"/>
        <family val="2"/>
      </rPr>
      <t xml:space="preserve"> for citation:</t>
    </r>
  </si>
  <si>
    <t>Hover cursor for updates:</t>
  </si>
  <si>
    <t xml:space="preserve">    and the right sign for your data and analysis:</t>
  </si>
  <si>
    <t>The above are provided when you insert a threshold standardized value.</t>
  </si>
  <si>
    <t>To get inferences, insert one or more threshold values of the (smallest or larger) important or harmful effect in the appropriate units</t>
  </si>
  <si>
    <t>Standardized difference in means</t>
  </si>
  <si>
    <t>Data (generated with Understaning Stats via Simulations) are for a training study in which the improvement in peak power in an incremental test depended on the initial weekly training (X) of the cyclists.</t>
  </si>
  <si>
    <t>Parameter</t>
  </si>
  <si>
    <t>Estimate</t>
  </si>
  <si>
    <t>Std. Error</t>
  </si>
  <si>
    <t>Wald Z</t>
  </si>
  <si>
    <t>Sig.</t>
  </si>
  <si>
    <t>90% Confidence Interval</t>
  </si>
  <si>
    <t>Lower Bound</t>
  </si>
  <si>
    <t>Upper Bound</t>
  </si>
  <si>
    <t>Residual</t>
  </si>
  <si>
    <t>xVarExp01 [subject = Name]</t>
  </si>
  <si>
    <t>Variance</t>
  </si>
  <si>
    <t>a. Dependent Variable: Post1_Pre2.</t>
  </si>
  <si>
    <r>
      <t>Estimates of Covariance Parameters</t>
    </r>
    <r>
      <rPr>
        <b/>
        <vertAlign val="superscript"/>
        <sz val="7"/>
        <color indexed="8"/>
        <rFont val="Arial Bold"/>
      </rPr>
      <t>a</t>
    </r>
  </si>
  <si>
    <t>Residual/root(2)</t>
  </si>
  <si>
    <t>Square roots:</t>
  </si>
  <si>
    <t>Proper derivation of confidence limits:</t>
  </si>
  <si>
    <t>Taking square roots of the random-effect variances (X not included in the model):</t>
  </si>
  <si>
    <t>Chances (% and qualitative) that the true value of the statistic is Non-clinicalally or clinically (practically)…</t>
  </si>
  <si>
    <t>Chances (% and qualitative) that the true ratio is Non-clinicalally…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</si>
</sst>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8" formatCode="0.0"/>
    <numFmt numFmtId="169" formatCode="0.0000"/>
    <numFmt numFmtId="170" formatCode="0.000"/>
    <numFmt numFmtId="171" formatCode="0.00000000000000"/>
    <numFmt numFmtId="172" formatCode="###0.000000"/>
    <numFmt numFmtId="173" formatCode="###0.000"/>
    <numFmt numFmtId="174" formatCode="####.000"/>
    <numFmt numFmtId="175" formatCode="###0.00"/>
  </numFmts>
  <fonts count="70" x14ac:knownFonts="1">
    <font>
      <sz val="10"/>
      <name val="Arial"/>
    </font>
    <font>
      <sz val="10"/>
      <name val="Arial"/>
    </font>
    <font>
      <b/>
      <sz val="10"/>
      <name val="Arial"/>
      <family val="2"/>
    </font>
    <font>
      <sz val="10"/>
      <name val="Arial"/>
      <family val="2"/>
    </font>
    <font>
      <sz val="10"/>
      <name val="Symbol"/>
      <family val="1"/>
      <charset val="2"/>
    </font>
    <font>
      <b/>
      <sz val="10"/>
      <color indexed="12"/>
      <name val="Arial"/>
      <family val="2"/>
    </font>
    <font>
      <sz val="8"/>
      <color indexed="81"/>
      <name val="Tahoma"/>
      <family val="2"/>
    </font>
    <font>
      <b/>
      <sz val="8"/>
      <color indexed="81"/>
      <name val="Tahoma"/>
      <family val="2"/>
    </font>
    <font>
      <sz val="9"/>
      <name val="Arial"/>
      <family val="2"/>
    </font>
    <font>
      <sz val="8"/>
      <name val="Arial"/>
      <family val="2"/>
    </font>
    <font>
      <b/>
      <sz val="9"/>
      <color indexed="14"/>
      <name val="Arial"/>
      <family val="2"/>
    </font>
    <font>
      <b/>
      <sz val="9"/>
      <color indexed="57"/>
      <name val="Arial"/>
      <family val="2"/>
    </font>
    <font>
      <b/>
      <sz val="10"/>
      <color indexed="14"/>
      <name val="Arial"/>
      <family val="2"/>
    </font>
    <font>
      <b/>
      <sz val="10"/>
      <color indexed="57"/>
      <name val="Arial"/>
      <family val="2"/>
    </font>
    <font>
      <b/>
      <sz val="10"/>
      <color indexed="10"/>
      <name val="Arial"/>
      <family val="2"/>
    </font>
    <font>
      <sz val="7"/>
      <color indexed="10"/>
      <name val="Arial"/>
      <family val="2"/>
    </font>
    <font>
      <sz val="10"/>
      <color indexed="10"/>
      <name val="Arial"/>
      <family val="2"/>
    </font>
    <font>
      <sz val="10"/>
      <color indexed="12"/>
      <name val="Arial"/>
      <family val="2"/>
    </font>
    <font>
      <sz val="11"/>
      <name val="Arial"/>
      <family val="2"/>
    </font>
    <font>
      <sz val="11"/>
      <name val="Symbol"/>
      <family val="1"/>
      <charset val="2"/>
    </font>
    <font>
      <b/>
      <sz val="11"/>
      <name val="Arial"/>
      <family val="2"/>
    </font>
    <font>
      <sz val="9"/>
      <color indexed="14"/>
      <name val="Arial"/>
      <family val="2"/>
    </font>
    <font>
      <sz val="9"/>
      <color indexed="57"/>
      <name val="Arial"/>
      <family val="2"/>
    </font>
    <font>
      <b/>
      <sz val="14"/>
      <color indexed="12"/>
      <name val="Arial"/>
      <family val="2"/>
    </font>
    <font>
      <b/>
      <sz val="10"/>
      <color indexed="20"/>
      <name val="Arial"/>
      <family val="2"/>
    </font>
    <font>
      <b/>
      <sz val="10"/>
      <color indexed="55"/>
      <name val="Arial"/>
      <family val="2"/>
    </font>
    <font>
      <sz val="10"/>
      <color indexed="61"/>
      <name val="Arial"/>
      <family val="2"/>
    </font>
    <font>
      <sz val="9"/>
      <color indexed="61"/>
      <name val="Arial"/>
      <family val="2"/>
    </font>
    <font>
      <b/>
      <sz val="10"/>
      <name val="Symbol"/>
      <family val="1"/>
      <charset val="2"/>
    </font>
    <font>
      <sz val="10"/>
      <color indexed="23"/>
      <name val="Arial"/>
      <family val="2"/>
    </font>
    <font>
      <sz val="10"/>
      <color indexed="23"/>
      <name val="Arial"/>
      <family val="2"/>
    </font>
    <font>
      <sz val="10"/>
      <color indexed="10"/>
      <name val="Arial"/>
      <family val="2"/>
    </font>
    <font>
      <b/>
      <sz val="11"/>
      <name val="Arial Narrow"/>
      <family val="2"/>
    </font>
    <font>
      <b/>
      <sz val="12"/>
      <name val="Arial Narrow"/>
      <family val="2"/>
    </font>
    <font>
      <sz val="11"/>
      <name val="Arial Narrow"/>
      <family val="2"/>
    </font>
    <font>
      <sz val="10"/>
      <name val="Arial Narrow"/>
      <family val="2"/>
    </font>
    <font>
      <b/>
      <sz val="10"/>
      <name val="Arial Narrow"/>
      <family val="2"/>
    </font>
    <font>
      <b/>
      <sz val="10"/>
      <color indexed="12"/>
      <name val="Arial Narrow"/>
      <family val="2"/>
    </font>
    <font>
      <sz val="9"/>
      <name val="Arial Narrow"/>
      <family val="2"/>
    </font>
    <font>
      <b/>
      <sz val="10"/>
      <color indexed="23"/>
      <name val="Arial"/>
      <family val="2"/>
    </font>
    <font>
      <sz val="9"/>
      <color indexed="23"/>
      <name val="Arial"/>
      <family val="2"/>
    </font>
    <font>
      <sz val="8"/>
      <color indexed="23"/>
      <name val="Arial"/>
      <family val="2"/>
    </font>
    <font>
      <b/>
      <sz val="9"/>
      <color indexed="23"/>
      <name val="Arial"/>
      <family val="2"/>
    </font>
    <font>
      <sz val="7"/>
      <color indexed="23"/>
      <name val="Arial"/>
      <family val="2"/>
    </font>
    <font>
      <sz val="11"/>
      <color indexed="23"/>
      <name val="Symbol"/>
      <family val="1"/>
      <charset val="2"/>
    </font>
    <font>
      <b/>
      <sz val="12"/>
      <color indexed="12"/>
      <name val="Arial"/>
      <family val="2"/>
    </font>
    <font>
      <sz val="8"/>
      <color indexed="81"/>
      <name val="Symbol"/>
      <family val="1"/>
      <charset val="2"/>
    </font>
    <font>
      <b/>
      <sz val="10"/>
      <color indexed="61"/>
      <name val="Arial"/>
      <family val="2"/>
    </font>
    <font>
      <sz val="10"/>
      <color indexed="8"/>
      <name val="Arial"/>
      <family val="2"/>
    </font>
    <font>
      <sz val="9"/>
      <color indexed="8"/>
      <name val="Arial"/>
      <family val="2"/>
    </font>
    <font>
      <b/>
      <sz val="11"/>
      <color indexed="12"/>
      <name val="Arial"/>
      <family val="2"/>
    </font>
    <font>
      <b/>
      <sz val="11"/>
      <color indexed="20"/>
      <name val="Arial"/>
      <family val="2"/>
    </font>
    <font>
      <sz val="8"/>
      <color indexed="10"/>
      <name val="Arial"/>
      <family val="2"/>
    </font>
    <font>
      <sz val="8"/>
      <color indexed="14"/>
      <name val="Arial"/>
      <family val="2"/>
    </font>
    <font>
      <sz val="8"/>
      <color indexed="57"/>
      <name val="Arial"/>
      <family val="2"/>
    </font>
    <font>
      <sz val="8"/>
      <name val="Arial"/>
      <family val="2"/>
    </font>
    <font>
      <sz val="9"/>
      <name val="Arial"/>
      <family val="2"/>
    </font>
    <font>
      <sz val="10"/>
      <color indexed="57"/>
      <name val="Arial"/>
      <family val="2"/>
    </font>
    <font>
      <sz val="10"/>
      <color indexed="55"/>
      <name val="Arial"/>
      <family val="2"/>
    </font>
    <font>
      <sz val="10"/>
      <color indexed="14"/>
      <name val="Arial"/>
      <family val="2"/>
    </font>
    <font>
      <b/>
      <sz val="9"/>
      <color indexed="61"/>
      <name val="Arial"/>
      <family val="2"/>
    </font>
    <font>
      <sz val="10"/>
      <color indexed="63"/>
      <name val="Arial"/>
      <family val="2"/>
    </font>
    <font>
      <sz val="9"/>
      <color indexed="81"/>
      <name val="Tahoma"/>
      <family val="2"/>
    </font>
    <font>
      <sz val="10"/>
      <color indexed="10"/>
      <name val="Arial"/>
      <family val="2"/>
    </font>
    <font>
      <sz val="10"/>
      <name val="Arial"/>
      <family val="2"/>
    </font>
    <font>
      <sz val="11"/>
      <color indexed="10"/>
      <name val="Arial"/>
      <family val="2"/>
    </font>
    <font>
      <b/>
      <sz val="10"/>
      <color indexed="60"/>
      <name val="Arial"/>
      <family val="2"/>
    </font>
    <font>
      <b/>
      <vertAlign val="superscript"/>
      <sz val="7"/>
      <color indexed="8"/>
      <name val="Arial Bold"/>
    </font>
    <font>
      <b/>
      <sz val="7"/>
      <color indexed="8"/>
      <name val="Arial Bold"/>
    </font>
    <font>
      <sz val="7"/>
      <color indexed="8"/>
      <name val="Arial"/>
      <family val="2"/>
    </font>
  </fonts>
  <fills count="12">
    <fill>
      <patternFill patternType="none"/>
    </fill>
    <fill>
      <patternFill patternType="gray125"/>
    </fill>
    <fill>
      <patternFill patternType="solid">
        <fgColor indexed="41"/>
        <bgColor indexed="64"/>
      </patternFill>
    </fill>
    <fill>
      <patternFill patternType="solid">
        <fgColor indexed="55"/>
        <bgColor indexed="64"/>
      </patternFill>
    </fill>
    <fill>
      <patternFill patternType="solid">
        <fgColor indexed="46"/>
        <bgColor indexed="64"/>
      </patternFill>
    </fill>
    <fill>
      <patternFill patternType="solid">
        <fgColor indexed="47"/>
        <bgColor indexed="64"/>
      </patternFill>
    </fill>
    <fill>
      <patternFill patternType="solid">
        <fgColor indexed="45"/>
        <bgColor indexed="64"/>
      </patternFill>
    </fill>
    <fill>
      <patternFill patternType="solid">
        <fgColor indexed="44"/>
        <bgColor indexed="64"/>
      </patternFill>
    </fill>
    <fill>
      <patternFill patternType="solid">
        <fgColor indexed="13"/>
        <bgColor indexed="64"/>
      </patternFill>
    </fill>
    <fill>
      <patternFill patternType="solid">
        <fgColor indexed="42"/>
        <bgColor indexed="64"/>
      </patternFill>
    </fill>
    <fill>
      <patternFill patternType="solid">
        <fgColor indexed="43"/>
        <bgColor indexed="64"/>
      </patternFill>
    </fill>
    <fill>
      <patternFill patternType="solid">
        <fgColor theme="7" tint="0.39997558519241921"/>
        <bgColor indexed="64"/>
      </patternFill>
    </fill>
  </fills>
  <borders count="43">
    <border>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ck">
        <color indexed="8"/>
      </left>
      <right/>
      <top style="thick">
        <color indexed="8"/>
      </top>
      <bottom/>
      <diagonal/>
    </border>
    <border>
      <left/>
      <right style="thick">
        <color indexed="8"/>
      </right>
      <top style="thick">
        <color indexed="8"/>
      </top>
      <bottom/>
      <diagonal/>
    </border>
    <border>
      <left style="thick">
        <color indexed="8"/>
      </left>
      <right style="thin">
        <color indexed="8"/>
      </right>
      <top style="thick">
        <color indexed="8"/>
      </top>
      <bottom style="thin">
        <color indexed="8"/>
      </bottom>
      <diagonal/>
    </border>
    <border>
      <left style="thin">
        <color indexed="8"/>
      </left>
      <right style="thin">
        <color indexed="8"/>
      </right>
      <top style="thick">
        <color indexed="8"/>
      </top>
      <bottom style="thin">
        <color indexed="8"/>
      </bottom>
      <diagonal/>
    </border>
    <border>
      <left style="thin">
        <color indexed="8"/>
      </left>
      <right style="thick">
        <color indexed="8"/>
      </right>
      <top style="thick">
        <color indexed="8"/>
      </top>
      <bottom style="thin">
        <color indexed="8"/>
      </bottom>
      <diagonal/>
    </border>
    <border>
      <left style="thick">
        <color indexed="8"/>
      </left>
      <right/>
      <top/>
      <bottom style="thick">
        <color indexed="8"/>
      </bottom>
      <diagonal/>
    </border>
    <border>
      <left/>
      <right style="thick">
        <color indexed="8"/>
      </right>
      <top/>
      <bottom style="thick">
        <color indexed="8"/>
      </bottom>
      <diagonal/>
    </border>
    <border>
      <left style="thick">
        <color indexed="8"/>
      </left>
      <right style="thin">
        <color indexed="8"/>
      </right>
      <top style="thin">
        <color indexed="8"/>
      </top>
      <bottom style="thick">
        <color indexed="8"/>
      </bottom>
      <diagonal/>
    </border>
    <border>
      <left style="thin">
        <color indexed="8"/>
      </left>
      <right style="thin">
        <color indexed="8"/>
      </right>
      <top style="thin">
        <color indexed="8"/>
      </top>
      <bottom style="thick">
        <color indexed="8"/>
      </bottom>
      <diagonal/>
    </border>
    <border>
      <left style="thin">
        <color indexed="8"/>
      </left>
      <right style="thick">
        <color indexed="8"/>
      </right>
      <top style="thin">
        <color indexed="8"/>
      </top>
      <bottom style="thick">
        <color indexed="8"/>
      </bottom>
      <diagonal/>
    </border>
    <border>
      <left style="thick">
        <color indexed="8"/>
      </left>
      <right style="thin">
        <color indexed="8"/>
      </right>
      <top style="thick">
        <color indexed="8"/>
      </top>
      <bottom/>
      <diagonal/>
    </border>
    <border>
      <left style="thin">
        <color indexed="8"/>
      </left>
      <right style="thin">
        <color indexed="8"/>
      </right>
      <top style="thick">
        <color indexed="8"/>
      </top>
      <bottom/>
      <diagonal/>
    </border>
    <border>
      <left style="thin">
        <color indexed="8"/>
      </left>
      <right style="thick">
        <color indexed="8"/>
      </right>
      <top style="thick">
        <color indexed="8"/>
      </top>
      <bottom/>
      <diagonal/>
    </border>
    <border>
      <left style="thick">
        <color indexed="8"/>
      </left>
      <right style="thin">
        <color indexed="8"/>
      </right>
      <top/>
      <bottom style="thick">
        <color indexed="8"/>
      </bottom>
      <diagonal/>
    </border>
    <border>
      <left style="thin">
        <color indexed="8"/>
      </left>
      <right style="thin">
        <color indexed="8"/>
      </right>
      <top/>
      <bottom style="thick">
        <color indexed="8"/>
      </bottom>
      <diagonal/>
    </border>
    <border>
      <left style="thin">
        <color indexed="8"/>
      </left>
      <right style="thick">
        <color indexed="8"/>
      </right>
      <top/>
      <bottom style="thick">
        <color indexed="8"/>
      </bottom>
      <diagonal/>
    </border>
  </borders>
  <cellStyleXfs count="2">
    <xf numFmtId="0" fontId="0" fillId="0" borderId="0"/>
    <xf numFmtId="0" fontId="3" fillId="0" borderId="0"/>
  </cellStyleXfs>
  <cellXfs count="460">
    <xf numFmtId="0" fontId="0" fillId="0" borderId="0" xfId="0"/>
    <xf numFmtId="168" fontId="0" fillId="0" borderId="0" xfId="0" applyNumberFormat="1"/>
    <xf numFmtId="0" fontId="0" fillId="0" borderId="0" xfId="0" applyAlignment="1">
      <alignment horizontal="right"/>
    </xf>
    <xf numFmtId="168" fontId="0" fillId="0" borderId="0" xfId="0" applyNumberFormat="1" applyAlignment="1">
      <alignment horizontal="right"/>
    </xf>
    <xf numFmtId="2" fontId="0" fillId="2" borderId="0" xfId="0" applyNumberFormat="1" applyFill="1" applyAlignment="1">
      <alignment horizontal="right"/>
    </xf>
    <xf numFmtId="0" fontId="3" fillId="2" borderId="0" xfId="0" applyFont="1" applyFill="1" applyAlignment="1">
      <alignment horizontal="right"/>
    </xf>
    <xf numFmtId="168" fontId="0" fillId="2" borderId="0" xfId="0" applyNumberFormat="1" applyFill="1" applyAlignment="1">
      <alignment horizontal="right"/>
    </xf>
    <xf numFmtId="0" fontId="3" fillId="0" borderId="0" xfId="0" applyFont="1" applyFill="1" applyAlignment="1">
      <alignment horizontal="right"/>
    </xf>
    <xf numFmtId="168" fontId="0" fillId="0" borderId="0" xfId="0" applyNumberFormat="1" applyFill="1" applyAlignment="1">
      <alignment horizontal="right"/>
    </xf>
    <xf numFmtId="2" fontId="0" fillId="0" borderId="0" xfId="0" applyNumberFormat="1" applyFill="1" applyAlignment="1">
      <alignment horizontal="right"/>
    </xf>
    <xf numFmtId="0" fontId="0" fillId="0" borderId="0" xfId="0" applyFill="1"/>
    <xf numFmtId="0" fontId="8" fillId="0" borderId="1" xfId="0" applyFont="1" applyBorder="1" applyAlignment="1">
      <alignment horizontal="right" wrapText="1"/>
    </xf>
    <xf numFmtId="0" fontId="3" fillId="0" borderId="2" xfId="0" applyFont="1" applyBorder="1" applyAlignment="1">
      <alignment horizontal="right"/>
    </xf>
    <xf numFmtId="0" fontId="11" fillId="0" borderId="2" xfId="0" quotePrefix="1" applyFont="1" applyBorder="1" applyAlignment="1">
      <alignment horizontal="right"/>
    </xf>
    <xf numFmtId="0" fontId="10" fillId="0" borderId="1" xfId="0" quotePrefix="1" applyFont="1" applyBorder="1" applyAlignment="1">
      <alignment horizontal="right"/>
    </xf>
    <xf numFmtId="168" fontId="16" fillId="0" borderId="3" xfId="0" applyNumberFormat="1" applyFont="1" applyBorder="1" applyAlignment="1">
      <alignment horizontal="center"/>
    </xf>
    <xf numFmtId="168" fontId="14" fillId="0" borderId="3" xfId="0" applyNumberFormat="1" applyFont="1" applyBorder="1" applyAlignment="1">
      <alignment horizontal="center"/>
    </xf>
    <xf numFmtId="0" fontId="17" fillId="0" borderId="0" xfId="0" applyFont="1"/>
    <xf numFmtId="1" fontId="3" fillId="0" borderId="4" xfId="0" applyNumberFormat="1" applyFont="1" applyBorder="1" applyAlignment="1">
      <alignment horizontal="center"/>
    </xf>
    <xf numFmtId="1" fontId="15" fillId="0" borderId="5" xfId="0" applyNumberFormat="1" applyFont="1" applyBorder="1" applyAlignment="1">
      <alignment horizontal="center" vertical="center" wrapText="1"/>
    </xf>
    <xf numFmtId="0" fontId="0" fillId="0" borderId="1" xfId="0" applyBorder="1"/>
    <xf numFmtId="0" fontId="8" fillId="0" borderId="2" xfId="0" applyFont="1" applyBorder="1" applyAlignment="1">
      <alignment horizontal="right" wrapText="1"/>
    </xf>
    <xf numFmtId="0" fontId="0" fillId="0" borderId="0" xfId="0" applyBorder="1"/>
    <xf numFmtId="0" fontId="0" fillId="0" borderId="3" xfId="0" applyBorder="1" applyAlignment="1">
      <alignment horizontal="right"/>
    </xf>
    <xf numFmtId="0" fontId="18" fillId="0" borderId="2" xfId="0" applyFont="1" applyBorder="1" applyAlignment="1">
      <alignment horizontal="right"/>
    </xf>
    <xf numFmtId="0" fontId="3" fillId="0" borderId="0" xfId="0" applyFont="1" applyBorder="1" applyAlignment="1">
      <alignment horizontal="center" wrapText="1"/>
    </xf>
    <xf numFmtId="1" fontId="3" fillId="0" borderId="0" xfId="0" applyNumberFormat="1" applyFont="1" applyBorder="1" applyAlignment="1">
      <alignment horizontal="center"/>
    </xf>
    <xf numFmtId="0" fontId="0" fillId="0" borderId="0" xfId="0" applyBorder="1" applyAlignment="1">
      <alignment horizontal="center"/>
    </xf>
    <xf numFmtId="0" fontId="5" fillId="0" borderId="0" xfId="0" applyFont="1" applyBorder="1" applyAlignment="1">
      <alignment horizontal="center"/>
    </xf>
    <xf numFmtId="0" fontId="3" fillId="0" borderId="3" xfId="0" applyFont="1" applyFill="1" applyBorder="1" applyAlignment="1">
      <alignment horizontal="right"/>
    </xf>
    <xf numFmtId="0" fontId="0" fillId="0" borderId="0" xfId="0" applyAlignment="1">
      <alignment horizontal="center"/>
    </xf>
    <xf numFmtId="1" fontId="0" fillId="0" borderId="4" xfId="0" applyNumberFormat="1" applyBorder="1" applyAlignment="1">
      <alignment horizontal="center"/>
    </xf>
    <xf numFmtId="0" fontId="0" fillId="0" borderId="6" xfId="0" applyBorder="1"/>
    <xf numFmtId="0" fontId="0" fillId="0" borderId="7" xfId="0" applyBorder="1"/>
    <xf numFmtId="2" fontId="14" fillId="0" borderId="3" xfId="0" applyNumberFormat="1" applyFont="1" applyBorder="1" applyAlignment="1">
      <alignment horizontal="center"/>
    </xf>
    <xf numFmtId="0" fontId="8" fillId="0" borderId="8" xfId="0" applyFont="1" applyFill="1" applyBorder="1" applyAlignment="1">
      <alignment horizontal="right"/>
    </xf>
    <xf numFmtId="1" fontId="0" fillId="0" borderId="7" xfId="0" applyNumberFormat="1" applyBorder="1" applyAlignment="1">
      <alignment horizontal="center"/>
    </xf>
    <xf numFmtId="0" fontId="8" fillId="0" borderId="0" xfId="0" applyFont="1" applyFill="1" applyBorder="1" applyAlignment="1">
      <alignment horizontal="right"/>
    </xf>
    <xf numFmtId="0" fontId="0" fillId="0" borderId="8" xfId="0" applyBorder="1"/>
    <xf numFmtId="0" fontId="0" fillId="0" borderId="3" xfId="0" applyBorder="1"/>
    <xf numFmtId="0" fontId="8" fillId="0" borderId="4" xfId="0" applyFont="1" applyBorder="1" applyAlignment="1">
      <alignment horizontal="right" wrapText="1"/>
    </xf>
    <xf numFmtId="170" fontId="14" fillId="0" borderId="4" xfId="0" applyNumberFormat="1" applyFont="1" applyBorder="1" applyAlignment="1">
      <alignment horizontal="center"/>
    </xf>
    <xf numFmtId="2" fontId="14" fillId="0" borderId="4" xfId="0" applyNumberFormat="1" applyFont="1" applyBorder="1" applyAlignment="1">
      <alignment horizontal="center"/>
    </xf>
    <xf numFmtId="0" fontId="0" fillId="0" borderId="0" xfId="0" applyFill="1" applyAlignment="1">
      <alignment horizontal="center"/>
    </xf>
    <xf numFmtId="0" fontId="3" fillId="0" borderId="0" xfId="0" applyFont="1" applyBorder="1" applyAlignment="1">
      <alignment horizontal="center"/>
    </xf>
    <xf numFmtId="0" fontId="8" fillId="3" borderId="0" xfId="0" applyFont="1" applyFill="1" applyBorder="1" applyAlignment="1">
      <alignment horizontal="right"/>
    </xf>
    <xf numFmtId="0" fontId="8" fillId="3" borderId="6" xfId="0" applyFont="1" applyFill="1" applyBorder="1"/>
    <xf numFmtId="168" fontId="8" fillId="3" borderId="4" xfId="0" applyNumberFormat="1" applyFont="1" applyFill="1" applyBorder="1" applyAlignment="1">
      <alignment horizontal="center"/>
    </xf>
    <xf numFmtId="0" fontId="18" fillId="0" borderId="9" xfId="0" applyFont="1" applyBorder="1"/>
    <xf numFmtId="0" fontId="20" fillId="0" borderId="9" xfId="0" applyFont="1" applyBorder="1"/>
    <xf numFmtId="0" fontId="3" fillId="0" borderId="0" xfId="0" applyFont="1"/>
    <xf numFmtId="0" fontId="3" fillId="0" borderId="0" xfId="0" applyFont="1" applyBorder="1"/>
    <xf numFmtId="0" fontId="1" fillId="0" borderId="0" xfId="0" applyFont="1"/>
    <xf numFmtId="2" fontId="16" fillId="0" borderId="4" xfId="0" applyNumberFormat="1" applyFont="1" applyBorder="1" applyAlignment="1">
      <alignment horizontal="center"/>
    </xf>
    <xf numFmtId="2" fontId="16" fillId="0" borderId="4" xfId="0" applyNumberFormat="1" applyFont="1" applyBorder="1" applyAlignment="1">
      <alignment horizontal="left"/>
    </xf>
    <xf numFmtId="2" fontId="16" fillId="0" borderId="4" xfId="0" applyNumberFormat="1" applyFont="1" applyBorder="1" applyAlignment="1">
      <alignment horizontal="right"/>
    </xf>
    <xf numFmtId="168" fontId="16" fillId="0" borderId="4" xfId="0" applyNumberFormat="1" applyFont="1" applyBorder="1" applyAlignment="1">
      <alignment horizontal="center"/>
    </xf>
    <xf numFmtId="168" fontId="16" fillId="0" borderId="4" xfId="0" applyNumberFormat="1" applyFont="1" applyBorder="1" applyAlignment="1">
      <alignment horizontal="left"/>
    </xf>
    <xf numFmtId="168" fontId="16" fillId="0" borderId="4" xfId="0" applyNumberFormat="1" applyFont="1" applyBorder="1"/>
    <xf numFmtId="170" fontId="16" fillId="0" borderId="4" xfId="0" applyNumberFormat="1" applyFont="1" applyBorder="1" applyAlignment="1">
      <alignment horizontal="left"/>
    </xf>
    <xf numFmtId="170" fontId="16" fillId="0" borderId="4" xfId="0" applyNumberFormat="1" applyFont="1" applyBorder="1" applyAlignment="1">
      <alignment horizontal="right"/>
    </xf>
    <xf numFmtId="168" fontId="16" fillId="0" borderId="4" xfId="0" applyNumberFormat="1" applyFont="1" applyBorder="1" applyAlignment="1">
      <alignment horizontal="right"/>
    </xf>
    <xf numFmtId="2" fontId="16" fillId="0" borderId="5" xfId="0" applyNumberFormat="1" applyFont="1" applyBorder="1" applyAlignment="1">
      <alignment horizontal="center"/>
    </xf>
    <xf numFmtId="170" fontId="16" fillId="0" borderId="5" xfId="0" applyNumberFormat="1" applyFont="1" applyBorder="1" applyAlignment="1">
      <alignment horizontal="center"/>
    </xf>
    <xf numFmtId="168" fontId="16" fillId="0" borderId="5" xfId="0" applyNumberFormat="1" applyFont="1" applyBorder="1" applyAlignment="1">
      <alignment horizontal="center"/>
    </xf>
    <xf numFmtId="0" fontId="21" fillId="0" borderId="1" xfId="0" quotePrefix="1" applyFont="1" applyBorder="1" applyAlignment="1">
      <alignment horizontal="right"/>
    </xf>
    <xf numFmtId="0" fontId="22" fillId="0" borderId="2" xfId="0" quotePrefix="1" applyFont="1" applyBorder="1" applyAlignment="1">
      <alignment horizontal="right"/>
    </xf>
    <xf numFmtId="1" fontId="16" fillId="0" borderId="10" xfId="0" applyNumberFormat="1" applyFont="1" applyBorder="1" applyAlignment="1">
      <alignment horizontal="center"/>
    </xf>
    <xf numFmtId="170" fontId="17" fillId="0" borderId="0" xfId="0" applyNumberFormat="1" applyFont="1" applyBorder="1" applyAlignment="1">
      <alignment horizontal="center"/>
    </xf>
    <xf numFmtId="0" fontId="3" fillId="0" borderId="2" xfId="0" applyFont="1" applyBorder="1" applyAlignment="1">
      <alignment horizontal="right" vertical="center"/>
    </xf>
    <xf numFmtId="168" fontId="16" fillId="0" borderId="3" xfId="0" applyNumberFormat="1" applyFont="1" applyBorder="1" applyAlignment="1">
      <alignment horizontal="left"/>
    </xf>
    <xf numFmtId="168" fontId="16" fillId="0" borderId="3" xfId="0" applyNumberFormat="1" applyFont="1" applyBorder="1" applyAlignment="1">
      <alignment horizontal="right"/>
    </xf>
    <xf numFmtId="2" fontId="16" fillId="2" borderId="0" xfId="0" applyNumberFormat="1" applyFont="1" applyFill="1" applyAlignment="1">
      <alignment horizontal="right"/>
    </xf>
    <xf numFmtId="168" fontId="16" fillId="2" borderId="0" xfId="0" applyNumberFormat="1" applyFont="1" applyFill="1" applyAlignment="1">
      <alignment horizontal="right"/>
    </xf>
    <xf numFmtId="2" fontId="16" fillId="0" borderId="0" xfId="0" applyNumberFormat="1" applyFont="1" applyFill="1" applyAlignment="1">
      <alignment horizontal="right"/>
    </xf>
    <xf numFmtId="0" fontId="2" fillId="0" borderId="0" xfId="0" applyFont="1"/>
    <xf numFmtId="0" fontId="0" fillId="0" borderId="4" xfId="0" applyBorder="1" applyAlignment="1">
      <alignment horizontal="center" wrapText="1"/>
    </xf>
    <xf numFmtId="168" fontId="16" fillId="0" borderId="11" xfId="0" applyNumberFormat="1" applyFont="1" applyBorder="1" applyAlignment="1">
      <alignment horizontal="center"/>
    </xf>
    <xf numFmtId="0" fontId="24" fillId="0" borderId="0" xfId="0" applyNumberFormat="1" applyFont="1" applyBorder="1" applyAlignment="1">
      <alignment horizontal="center"/>
    </xf>
    <xf numFmtId="0" fontId="18" fillId="0" borderId="0" xfId="0" applyFont="1" applyBorder="1"/>
    <xf numFmtId="0" fontId="24" fillId="0" borderId="0" xfId="0" applyFont="1" applyBorder="1" applyAlignment="1">
      <alignment horizontal="center"/>
    </xf>
    <xf numFmtId="0" fontId="8" fillId="0" borderId="0" xfId="0" applyFont="1" applyBorder="1" applyAlignment="1">
      <alignment horizontal="center"/>
    </xf>
    <xf numFmtId="0" fontId="8" fillId="0" borderId="0" xfId="0" applyFont="1" applyBorder="1" applyAlignment="1">
      <alignment horizontal="center" wrapText="1"/>
    </xf>
    <xf numFmtId="0" fontId="8" fillId="0" borderId="0" xfId="0" applyFont="1" applyBorder="1"/>
    <xf numFmtId="0" fontId="9" fillId="0" borderId="0" xfId="0" applyFont="1" applyFill="1" applyBorder="1" applyAlignment="1">
      <alignment horizontal="right"/>
    </xf>
    <xf numFmtId="2" fontId="16" fillId="0" borderId="0" xfId="0" applyNumberFormat="1" applyFont="1" applyBorder="1" applyAlignment="1">
      <alignment horizontal="center"/>
    </xf>
    <xf numFmtId="0" fontId="0" fillId="0" borderId="0" xfId="0" applyBorder="1" applyAlignment="1">
      <alignment horizontal="right" vertical="center" wrapText="1"/>
    </xf>
    <xf numFmtId="0" fontId="8" fillId="0" borderId="0" xfId="0" applyFont="1" applyBorder="1" applyAlignment="1">
      <alignment horizontal="right" wrapText="1"/>
    </xf>
    <xf numFmtId="2" fontId="16" fillId="0" borderId="0" xfId="0" applyNumberFormat="1" applyFont="1" applyBorder="1" applyAlignment="1">
      <alignment horizontal="left"/>
    </xf>
    <xf numFmtId="0" fontId="8" fillId="3" borderId="1" xfId="0" applyFont="1" applyFill="1" applyBorder="1"/>
    <xf numFmtId="2" fontId="0" fillId="0" borderId="4" xfId="0" applyNumberFormat="1" applyBorder="1" applyAlignment="1">
      <alignment horizontal="center" wrapText="1"/>
    </xf>
    <xf numFmtId="0" fontId="3" fillId="0" borderId="0" xfId="0" applyFont="1" applyFill="1" applyBorder="1" applyAlignment="1">
      <alignment horizontal="right"/>
    </xf>
    <xf numFmtId="1" fontId="27" fillId="0" borderId="0" xfId="0" applyNumberFormat="1" applyFont="1" applyBorder="1" applyAlignment="1">
      <alignment horizontal="center" wrapText="1"/>
    </xf>
    <xf numFmtId="1" fontId="26" fillId="0" borderId="0" xfId="0" applyNumberFormat="1" applyFont="1" applyBorder="1" applyAlignment="1">
      <alignment horizontal="center"/>
    </xf>
    <xf numFmtId="0" fontId="8" fillId="0" borderId="5" xfId="0" applyFont="1" applyBorder="1" applyAlignment="1">
      <alignment horizontal="right"/>
    </xf>
    <xf numFmtId="0" fontId="2" fillId="0" borderId="0" xfId="0" applyFont="1" applyFill="1" applyAlignment="1">
      <alignment horizontal="right"/>
    </xf>
    <xf numFmtId="1" fontId="23" fillId="0" borderId="0" xfId="0" applyNumberFormat="1" applyFont="1" applyFill="1" applyAlignment="1">
      <alignment horizontal="right"/>
    </xf>
    <xf numFmtId="1" fontId="0" fillId="2" borderId="0" xfId="0" applyNumberFormat="1" applyFill="1" applyAlignment="1">
      <alignment horizontal="right"/>
    </xf>
    <xf numFmtId="2" fontId="0" fillId="0" borderId="0" xfId="0" applyNumberFormat="1"/>
    <xf numFmtId="170" fontId="16" fillId="0" borderId="4" xfId="0" applyNumberFormat="1" applyFont="1" applyBorder="1" applyAlignment="1">
      <alignment horizontal="center"/>
    </xf>
    <xf numFmtId="2" fontId="2" fillId="0" borderId="0" xfId="0" applyNumberFormat="1" applyFont="1" applyFill="1" applyAlignment="1">
      <alignment horizontal="right"/>
    </xf>
    <xf numFmtId="168" fontId="16" fillId="0" borderId="0" xfId="0" applyNumberFormat="1" applyFont="1" applyFill="1"/>
    <xf numFmtId="170" fontId="16" fillId="0" borderId="0" xfId="0" applyNumberFormat="1" applyFont="1" applyFill="1"/>
    <xf numFmtId="2" fontId="16" fillId="0" borderId="0" xfId="0" applyNumberFormat="1" applyFont="1" applyFill="1"/>
    <xf numFmtId="0" fontId="0" fillId="0" borderId="2" xfId="0" applyBorder="1" applyAlignment="1">
      <alignment horizontal="right" vertical="center"/>
    </xf>
    <xf numFmtId="168" fontId="16" fillId="0" borderId="12" xfId="0" applyNumberFormat="1" applyFont="1" applyBorder="1" applyAlignment="1">
      <alignment horizontal="center"/>
    </xf>
    <xf numFmtId="2" fontId="16" fillId="0" borderId="12" xfId="0" applyNumberFormat="1" applyFont="1" applyBorder="1" applyAlignment="1">
      <alignment horizontal="center"/>
    </xf>
    <xf numFmtId="0" fontId="2" fillId="0" borderId="1" xfId="0" applyFont="1" applyBorder="1" applyAlignment="1">
      <alignment horizontal="left"/>
    </xf>
    <xf numFmtId="0" fontId="2" fillId="0" borderId="8" xfId="0" applyFont="1" applyBorder="1" applyAlignment="1">
      <alignment horizontal="left"/>
    </xf>
    <xf numFmtId="0" fontId="2" fillId="0" borderId="3" xfId="0" applyFont="1" applyBorder="1" applyAlignment="1">
      <alignment horizontal="left"/>
    </xf>
    <xf numFmtId="0" fontId="3" fillId="0" borderId="0" xfId="0" applyFont="1" applyBorder="1" applyAlignment="1">
      <alignment horizontal="right"/>
    </xf>
    <xf numFmtId="0" fontId="29" fillId="0" borderId="0" xfId="0" applyFont="1"/>
    <xf numFmtId="0" fontId="29" fillId="0" borderId="0" xfId="0" applyFont="1" applyBorder="1"/>
    <xf numFmtId="0" fontId="30" fillId="0" borderId="0" xfId="0" applyFont="1"/>
    <xf numFmtId="0" fontId="34" fillId="0" borderId="0" xfId="0" applyFont="1"/>
    <xf numFmtId="0" fontId="35" fillId="0" borderId="0" xfId="0" applyFont="1"/>
    <xf numFmtId="0" fontId="36" fillId="4" borderId="0" xfId="0" applyFont="1" applyFill="1" applyAlignment="1">
      <alignment horizontal="left" wrapText="1"/>
    </xf>
    <xf numFmtId="0" fontId="37" fillId="4" borderId="0" xfId="0" applyFont="1" applyFill="1" applyAlignment="1">
      <alignment horizontal="right" wrapText="1"/>
    </xf>
    <xf numFmtId="0" fontId="38" fillId="4" borderId="0" xfId="0" applyFont="1" applyFill="1" applyAlignment="1">
      <alignment horizontal="center" wrapText="1"/>
    </xf>
    <xf numFmtId="0" fontId="36" fillId="4" borderId="0" xfId="0" applyFont="1" applyFill="1" applyAlignment="1">
      <alignment horizontal="right" wrapText="1"/>
    </xf>
    <xf numFmtId="0" fontId="35" fillId="0" borderId="4" xfId="0" applyFont="1" applyBorder="1" applyAlignment="1">
      <alignment horizontal="center" wrapText="1"/>
    </xf>
    <xf numFmtId="0" fontId="0" fillId="0" borderId="0" xfId="0" applyAlignment="1">
      <alignment horizontal="right" wrapText="1"/>
    </xf>
    <xf numFmtId="0" fontId="0" fillId="0" borderId="0" xfId="0" applyAlignment="1">
      <alignment wrapText="1"/>
    </xf>
    <xf numFmtId="0" fontId="0" fillId="0" borderId="4" xfId="0" applyBorder="1" applyAlignment="1">
      <alignment horizontal="right"/>
    </xf>
    <xf numFmtId="0" fontId="10" fillId="0" borderId="2" xfId="0" applyFont="1" applyBorder="1" applyAlignment="1">
      <alignment horizontal="right" vertical="center" wrapText="1"/>
    </xf>
    <xf numFmtId="0" fontId="12" fillId="0" borderId="13" xfId="0" quotePrefix="1" applyFont="1" applyBorder="1" applyAlignment="1">
      <alignment horizontal="right" vertical="center" wrapText="1"/>
    </xf>
    <xf numFmtId="0" fontId="25" fillId="0" borderId="13" xfId="0" applyFont="1" applyBorder="1" applyAlignment="1">
      <alignment horizontal="right" vertical="center" wrapText="1"/>
    </xf>
    <xf numFmtId="0" fontId="25" fillId="0" borderId="2" xfId="0" applyFont="1" applyBorder="1" applyAlignment="1">
      <alignment horizontal="right" vertical="center" wrapText="1"/>
    </xf>
    <xf numFmtId="0" fontId="13" fillId="0" borderId="13" xfId="0" quotePrefix="1" applyFont="1" applyBorder="1" applyAlignment="1">
      <alignment horizontal="right" vertical="center" wrapText="1"/>
    </xf>
    <xf numFmtId="0" fontId="13" fillId="0" borderId="2" xfId="0" applyFont="1" applyBorder="1" applyAlignment="1">
      <alignment horizontal="right" vertical="center" wrapText="1"/>
    </xf>
    <xf numFmtId="0" fontId="30" fillId="0" borderId="4" xfId="0" applyFont="1" applyBorder="1" applyAlignment="1">
      <alignment horizontal="center" wrapText="1"/>
    </xf>
    <xf numFmtId="0" fontId="39" fillId="5" borderId="13" xfId="0" applyFont="1" applyFill="1" applyBorder="1" applyAlignment="1">
      <alignment vertical="center" wrapText="1"/>
    </xf>
    <xf numFmtId="0" fontId="30" fillId="5" borderId="14" xfId="0" applyFont="1" applyFill="1" applyBorder="1"/>
    <xf numFmtId="0" fontId="30" fillId="0" borderId="1" xfId="0" applyFont="1" applyBorder="1"/>
    <xf numFmtId="0" fontId="30" fillId="0" borderId="3" xfId="0" applyFont="1" applyBorder="1" applyAlignment="1">
      <alignment horizontal="right"/>
    </xf>
    <xf numFmtId="1" fontId="30" fillId="0" borderId="4" xfId="0" applyNumberFormat="1" applyFont="1" applyBorder="1" applyAlignment="1">
      <alignment horizontal="center"/>
    </xf>
    <xf numFmtId="1" fontId="30" fillId="0" borderId="0" xfId="0" applyNumberFormat="1" applyFont="1" applyBorder="1" applyAlignment="1">
      <alignment horizontal="center"/>
    </xf>
    <xf numFmtId="0" fontId="30" fillId="0" borderId="3" xfId="0" applyFont="1" applyFill="1" applyBorder="1" applyAlignment="1">
      <alignment horizontal="right"/>
    </xf>
    <xf numFmtId="168" fontId="39" fillId="0" borderId="3" xfId="0" applyNumberFormat="1" applyFont="1" applyBorder="1" applyAlignment="1">
      <alignment horizontal="center"/>
    </xf>
    <xf numFmtId="0" fontId="40" fillId="0" borderId="2" xfId="0" applyFont="1" applyBorder="1" applyAlignment="1">
      <alignment horizontal="right" wrapText="1"/>
    </xf>
    <xf numFmtId="168" fontId="30" fillId="0" borderId="4" xfId="0" applyNumberFormat="1" applyFont="1" applyBorder="1" applyAlignment="1">
      <alignment horizontal="left"/>
    </xf>
    <xf numFmtId="0" fontId="40" fillId="0" borderId="1" xfId="0" applyFont="1" applyBorder="1" applyAlignment="1">
      <alignment horizontal="right" wrapText="1"/>
    </xf>
    <xf numFmtId="168" fontId="30" fillId="0" borderId="4" xfId="0" applyNumberFormat="1" applyFont="1" applyBorder="1" applyAlignment="1">
      <alignment horizontal="right"/>
    </xf>
    <xf numFmtId="0" fontId="30" fillId="0" borderId="2" xfId="0" applyFont="1" applyBorder="1" applyAlignment="1">
      <alignment horizontal="right"/>
    </xf>
    <xf numFmtId="168" fontId="30" fillId="0" borderId="5" xfId="0" applyNumberFormat="1" applyFont="1" applyBorder="1" applyAlignment="1">
      <alignment horizontal="center"/>
    </xf>
    <xf numFmtId="0" fontId="42" fillId="0" borderId="1" xfId="0" quotePrefix="1" applyFont="1" applyBorder="1" applyAlignment="1">
      <alignment horizontal="right"/>
    </xf>
    <xf numFmtId="2" fontId="30" fillId="0" borderId="4" xfId="0" applyNumberFormat="1" applyFont="1" applyBorder="1" applyAlignment="1">
      <alignment horizontal="center"/>
    </xf>
    <xf numFmtId="168" fontId="30" fillId="0" borderId="4" xfId="0" applyNumberFormat="1" applyFont="1" applyBorder="1" applyAlignment="1">
      <alignment horizontal="center"/>
    </xf>
    <xf numFmtId="0" fontId="42" fillId="0" borderId="2" xfId="0" quotePrefix="1" applyFont="1" applyBorder="1" applyAlignment="1">
      <alignment horizontal="right"/>
    </xf>
    <xf numFmtId="0" fontId="39" fillId="0" borderId="13" xfId="0" quotePrefix="1" applyFont="1" applyBorder="1" applyAlignment="1">
      <alignment horizontal="right" vertical="center" wrapText="1"/>
    </xf>
    <xf numFmtId="1" fontId="30" fillId="0" borderId="10" xfId="0" applyNumberFormat="1" applyFont="1" applyBorder="1" applyAlignment="1">
      <alignment horizontal="center"/>
    </xf>
    <xf numFmtId="0" fontId="42" fillId="0" borderId="2" xfId="0" applyFont="1" applyBorder="1" applyAlignment="1">
      <alignment horizontal="right" vertical="center" wrapText="1"/>
    </xf>
    <xf numFmtId="1" fontId="43" fillId="0" borderId="5" xfId="0" applyNumberFormat="1" applyFont="1" applyBorder="1" applyAlignment="1">
      <alignment horizontal="center" vertical="center" wrapText="1"/>
    </xf>
    <xf numFmtId="0" fontId="39" fillId="0" borderId="13" xfId="0" applyFont="1" applyBorder="1" applyAlignment="1">
      <alignment horizontal="right" vertical="center" wrapText="1"/>
    </xf>
    <xf numFmtId="0" fontId="39" fillId="0" borderId="2" xfId="0" applyFont="1" applyBorder="1" applyAlignment="1">
      <alignment horizontal="right" vertical="center" wrapText="1"/>
    </xf>
    <xf numFmtId="0" fontId="30" fillId="0" borderId="8" xfId="0" applyFont="1" applyBorder="1"/>
    <xf numFmtId="0" fontId="30" fillId="0" borderId="3" xfId="0" applyFont="1" applyBorder="1"/>
    <xf numFmtId="0" fontId="30" fillId="0" borderId="8" xfId="0" applyFont="1" applyFill="1" applyBorder="1" applyAlignment="1">
      <alignment horizontal="right"/>
    </xf>
    <xf numFmtId="168" fontId="30" fillId="0" borderId="3" xfId="0" applyNumberFormat="1" applyFont="1" applyBorder="1" applyAlignment="1">
      <alignment horizontal="center"/>
    </xf>
    <xf numFmtId="168" fontId="30" fillId="0" borderId="4" xfId="0" applyNumberFormat="1" applyFont="1" applyBorder="1"/>
    <xf numFmtId="0" fontId="39" fillId="0" borderId="1" xfId="0" applyFont="1" applyBorder="1" applyAlignment="1">
      <alignment horizontal="left"/>
    </xf>
    <xf numFmtId="0" fontId="39" fillId="0" borderId="8" xfId="0" applyFont="1" applyBorder="1" applyAlignment="1">
      <alignment horizontal="left"/>
    </xf>
    <xf numFmtId="0" fontId="39" fillId="0" borderId="3" xfId="0" applyFont="1" applyBorder="1" applyAlignment="1">
      <alignment horizontal="left"/>
    </xf>
    <xf numFmtId="0" fontId="29" fillId="0" borderId="1" xfId="0" applyFont="1" applyBorder="1"/>
    <xf numFmtId="168" fontId="30" fillId="0" borderId="12" xfId="0" applyNumberFormat="1" applyFont="1" applyBorder="1" applyAlignment="1">
      <alignment horizontal="center"/>
    </xf>
    <xf numFmtId="0" fontId="33" fillId="0" borderId="0" xfId="0" applyFont="1" applyBorder="1" applyAlignment="1">
      <alignment horizontal="left" vertical="top" wrapText="1"/>
    </xf>
    <xf numFmtId="0" fontId="1" fillId="0" borderId="0" xfId="0" applyFont="1" applyAlignment="1"/>
    <xf numFmtId="0" fontId="0" fillId="0" borderId="11" xfId="0" applyBorder="1" applyAlignment="1">
      <alignment horizontal="right"/>
    </xf>
    <xf numFmtId="0" fontId="3" fillId="0" borderId="5" xfId="0" applyFont="1" applyBorder="1" applyAlignment="1">
      <alignment horizontal="right"/>
    </xf>
    <xf numFmtId="0" fontId="17" fillId="0" borderId="0" xfId="0" applyFont="1" applyAlignment="1">
      <alignment horizontal="right"/>
    </xf>
    <xf numFmtId="0" fontId="17" fillId="0" borderId="0" xfId="0" applyFont="1" applyFill="1" applyAlignment="1">
      <alignment horizontal="right"/>
    </xf>
    <xf numFmtId="0" fontId="2" fillId="0" borderId="0" xfId="0" applyFont="1" applyAlignment="1">
      <alignment horizontal="right"/>
    </xf>
    <xf numFmtId="2" fontId="31" fillId="0" borderId="0" xfId="0" applyNumberFormat="1" applyFont="1" applyAlignment="1">
      <alignment horizontal="left"/>
    </xf>
    <xf numFmtId="0" fontId="29" fillId="0" borderId="0" xfId="0" applyFont="1" applyFill="1"/>
    <xf numFmtId="2" fontId="29" fillId="0" borderId="0" xfId="0" applyNumberFormat="1" applyFont="1" applyFill="1" applyAlignment="1">
      <alignment horizontal="right"/>
    </xf>
    <xf numFmtId="2" fontId="29" fillId="0" borderId="0" xfId="0" applyNumberFormat="1" applyFont="1" applyFill="1"/>
    <xf numFmtId="0" fontId="29" fillId="0" borderId="0" xfId="0" applyFont="1" applyFill="1" applyAlignment="1">
      <alignment horizontal="right"/>
    </xf>
    <xf numFmtId="0" fontId="3" fillId="0" borderId="0" xfId="0" applyFont="1" applyAlignment="1">
      <alignment horizontal="right"/>
    </xf>
    <xf numFmtId="0" fontId="5" fillId="6" borderId="0" xfId="0" applyFont="1" applyFill="1" applyAlignment="1">
      <alignment horizontal="left"/>
    </xf>
    <xf numFmtId="0" fontId="3" fillId="0" borderId="4" xfId="0" applyFont="1" applyFill="1" applyBorder="1" applyAlignment="1">
      <alignment horizontal="right"/>
    </xf>
    <xf numFmtId="0" fontId="8" fillId="0" borderId="4" xfId="0" applyFont="1" applyFill="1" applyBorder="1" applyAlignment="1">
      <alignment horizontal="right"/>
    </xf>
    <xf numFmtId="0" fontId="0" fillId="0" borderId="0" xfId="0" applyBorder="1" applyAlignment="1">
      <alignment horizontal="right"/>
    </xf>
    <xf numFmtId="0" fontId="21" fillId="0" borderId="0" xfId="0" quotePrefix="1" applyFont="1" applyBorder="1" applyAlignment="1">
      <alignment horizontal="right"/>
    </xf>
    <xf numFmtId="0" fontId="22" fillId="0" borderId="0" xfId="0" quotePrefix="1" applyFont="1" applyBorder="1" applyAlignment="1">
      <alignment horizontal="right"/>
    </xf>
    <xf numFmtId="0" fontId="12" fillId="0" borderId="0" xfId="0" quotePrefix="1" applyFont="1" applyBorder="1" applyAlignment="1">
      <alignment horizontal="right" vertical="center" wrapText="1"/>
    </xf>
    <xf numFmtId="0" fontId="10" fillId="0" borderId="0" xfId="0" applyFont="1" applyBorder="1" applyAlignment="1">
      <alignment horizontal="right" vertical="center" wrapText="1"/>
    </xf>
    <xf numFmtId="0" fontId="39" fillId="0" borderId="3" xfId="0" applyFont="1" applyFill="1" applyBorder="1" applyAlignment="1">
      <alignment horizontal="left" vertical="center" wrapText="1"/>
    </xf>
    <xf numFmtId="0" fontId="2" fillId="0" borderId="3" xfId="0" applyFont="1" applyFill="1" applyBorder="1" applyAlignment="1">
      <alignment horizontal="left" vertical="center" wrapText="1"/>
    </xf>
    <xf numFmtId="0" fontId="36" fillId="0" borderId="3" xfId="0" applyFont="1" applyFill="1" applyBorder="1" applyAlignment="1">
      <alignment horizontal="left" vertical="center" wrapText="1"/>
    </xf>
    <xf numFmtId="0" fontId="36" fillId="0" borderId="4" xfId="0" applyFont="1" applyFill="1" applyBorder="1" applyAlignment="1">
      <alignment horizontal="left" vertical="center" wrapText="1"/>
    </xf>
    <xf numFmtId="0" fontId="0" fillId="6" borderId="0" xfId="0" applyFill="1" applyAlignment="1">
      <alignment horizontal="left"/>
    </xf>
    <xf numFmtId="0" fontId="5" fillId="7" borderId="0" xfId="0" applyFont="1" applyFill="1" applyAlignment="1">
      <alignment horizontal="left"/>
    </xf>
    <xf numFmtId="0" fontId="0" fillId="7" borderId="0" xfId="0" applyFill="1" applyAlignment="1">
      <alignment horizontal="left"/>
    </xf>
    <xf numFmtId="0" fontId="0" fillId="8" borderId="0" xfId="0" applyFill="1"/>
    <xf numFmtId="0" fontId="2" fillId="8" borderId="0" xfId="0" applyFont="1" applyFill="1" applyAlignment="1">
      <alignment horizontal="right"/>
    </xf>
    <xf numFmtId="0" fontId="5" fillId="8" borderId="0" xfId="0" applyFont="1" applyFill="1" applyAlignment="1">
      <alignment horizontal="left"/>
    </xf>
    <xf numFmtId="0" fontId="3" fillId="8" borderId="0" xfId="0" applyFont="1" applyFill="1" applyAlignment="1">
      <alignment horizontal="right"/>
    </xf>
    <xf numFmtId="1" fontId="5" fillId="8" borderId="0" xfId="0" applyNumberFormat="1" applyFont="1" applyFill="1" applyAlignment="1">
      <alignment horizontal="center"/>
    </xf>
    <xf numFmtId="0" fontId="0" fillId="9" borderId="0" xfId="0" applyFill="1" applyAlignment="1">
      <alignment horizontal="center"/>
    </xf>
    <xf numFmtId="0" fontId="2" fillId="9" borderId="0" xfId="0" applyFont="1" applyFill="1" applyAlignment="1">
      <alignment horizontal="right"/>
    </xf>
    <xf numFmtId="0" fontId="0" fillId="9" borderId="0" xfId="0" applyFill="1"/>
    <xf numFmtId="0" fontId="3" fillId="9" borderId="0" xfId="0" applyFont="1" applyFill="1" applyAlignment="1">
      <alignment horizontal="right"/>
    </xf>
    <xf numFmtId="2" fontId="16" fillId="9" borderId="0" xfId="0" applyNumberFormat="1" applyFont="1" applyFill="1"/>
    <xf numFmtId="0" fontId="0" fillId="9" borderId="0" xfId="0" applyFill="1" applyAlignment="1">
      <alignment horizontal="right"/>
    </xf>
    <xf numFmtId="1" fontId="0" fillId="9" borderId="0" xfId="0" applyNumberFormat="1" applyFill="1"/>
    <xf numFmtId="2" fontId="3" fillId="9" borderId="0" xfId="0" applyNumberFormat="1" applyFont="1" applyFill="1" applyAlignment="1">
      <alignment horizontal="right"/>
    </xf>
    <xf numFmtId="2" fontId="0" fillId="9" borderId="0" xfId="0" applyNumberFormat="1" applyFill="1" applyAlignment="1">
      <alignment horizontal="right"/>
    </xf>
    <xf numFmtId="2" fontId="16" fillId="9" borderId="0" xfId="0" applyNumberFormat="1" applyFont="1" applyFill="1" applyAlignment="1">
      <alignment horizontal="right"/>
    </xf>
    <xf numFmtId="169" fontId="16" fillId="9" borderId="0" xfId="0" applyNumberFormat="1" applyFont="1" applyFill="1" applyAlignment="1">
      <alignment horizontal="right"/>
    </xf>
    <xf numFmtId="1" fontId="0" fillId="9" borderId="0" xfId="0" applyNumberFormat="1" applyFill="1" applyAlignment="1">
      <alignment horizontal="right"/>
    </xf>
    <xf numFmtId="0" fontId="3" fillId="9" borderId="0" xfId="0" applyFont="1" applyFill="1" applyBorder="1" applyAlignment="1">
      <alignment horizontal="right"/>
    </xf>
    <xf numFmtId="168" fontId="3" fillId="9" borderId="0" xfId="0" applyNumberFormat="1" applyFont="1" applyFill="1" applyBorder="1" applyAlignment="1">
      <alignment horizontal="right"/>
    </xf>
    <xf numFmtId="168" fontId="16" fillId="9" borderId="0" xfId="0" applyNumberFormat="1" applyFont="1" applyFill="1" applyAlignment="1">
      <alignment horizontal="right"/>
    </xf>
    <xf numFmtId="0" fontId="0" fillId="5" borderId="0" xfId="0" applyFill="1"/>
    <xf numFmtId="2" fontId="2" fillId="5" borderId="0" xfId="0" applyNumberFormat="1" applyFont="1" applyFill="1" applyAlignment="1">
      <alignment horizontal="right"/>
    </xf>
    <xf numFmtId="2" fontId="0" fillId="5" borderId="0" xfId="0" applyNumberFormat="1" applyFill="1" applyAlignment="1">
      <alignment horizontal="right"/>
    </xf>
    <xf numFmtId="0" fontId="3" fillId="5" borderId="0" xfId="0" applyFont="1" applyFill="1" applyAlignment="1">
      <alignment horizontal="right"/>
    </xf>
    <xf numFmtId="168" fontId="16" fillId="5" borderId="0" xfId="0" applyNumberFormat="1" applyFont="1" applyFill="1" applyAlignment="1">
      <alignment horizontal="right"/>
    </xf>
    <xf numFmtId="2" fontId="16" fillId="5" borderId="0" xfId="0" applyNumberFormat="1" applyFont="1" applyFill="1" applyAlignment="1">
      <alignment horizontal="right"/>
    </xf>
    <xf numFmtId="169" fontId="16" fillId="5" borderId="0" xfId="0" applyNumberFormat="1" applyFont="1" applyFill="1" applyAlignment="1">
      <alignment horizontal="right"/>
    </xf>
    <xf numFmtId="1" fontId="0" fillId="5" borderId="0" xfId="0" applyNumberFormat="1" applyFill="1" applyAlignment="1">
      <alignment horizontal="right"/>
    </xf>
    <xf numFmtId="0" fontId="3" fillId="5" borderId="0" xfId="0" applyFont="1" applyFill="1" applyBorder="1" applyAlignment="1">
      <alignment horizontal="right"/>
    </xf>
    <xf numFmtId="168" fontId="3" fillId="5" borderId="0" xfId="0" applyNumberFormat="1" applyFont="1" applyFill="1" applyBorder="1" applyAlignment="1">
      <alignment horizontal="right"/>
    </xf>
    <xf numFmtId="168" fontId="0" fillId="5" borderId="0" xfId="0" applyNumberFormat="1" applyFill="1" applyAlignment="1">
      <alignment horizontal="right"/>
    </xf>
    <xf numFmtId="170" fontId="16" fillId="5" borderId="0" xfId="0" applyNumberFormat="1" applyFont="1" applyFill="1" applyAlignment="1">
      <alignment horizontal="right"/>
    </xf>
    <xf numFmtId="168" fontId="3" fillId="9" borderId="0" xfId="0" applyNumberFormat="1" applyFont="1" applyFill="1"/>
    <xf numFmtId="168" fontId="3" fillId="9" borderId="0" xfId="0" applyNumberFormat="1" applyFont="1" applyFill="1" applyAlignment="1">
      <alignment horizontal="right"/>
    </xf>
    <xf numFmtId="168" fontId="16" fillId="9" borderId="0" xfId="0" applyNumberFormat="1" applyFont="1" applyFill="1"/>
    <xf numFmtId="170" fontId="16" fillId="9" borderId="0" xfId="0" applyNumberFormat="1" applyFont="1" applyFill="1" applyAlignment="1">
      <alignment horizontal="right"/>
    </xf>
    <xf numFmtId="0" fontId="35" fillId="0" borderId="4" xfId="0" applyFont="1" applyFill="1" applyBorder="1"/>
    <xf numFmtId="0" fontId="35" fillId="0" borderId="4" xfId="0" applyFont="1" applyBorder="1"/>
    <xf numFmtId="0" fontId="2" fillId="0" borderId="0" xfId="0" applyFont="1" applyAlignment="1"/>
    <xf numFmtId="0" fontId="3" fillId="0" borderId="0" xfId="0" applyFont="1" applyFill="1"/>
    <xf numFmtId="0" fontId="2" fillId="0" borderId="0" xfId="0" applyFont="1" applyFill="1" applyAlignment="1"/>
    <xf numFmtId="0" fontId="1" fillId="0" borderId="0" xfId="0" applyFont="1" applyFill="1" applyAlignment="1"/>
    <xf numFmtId="2" fontId="27" fillId="0" borderId="4" xfId="0" applyNumberFormat="1" applyFont="1" applyBorder="1" applyAlignment="1">
      <alignment horizontal="center"/>
    </xf>
    <xf numFmtId="2" fontId="1" fillId="0" borderId="0" xfId="0" applyNumberFormat="1" applyFont="1"/>
    <xf numFmtId="168" fontId="47" fillId="0" borderId="4" xfId="0" applyNumberFormat="1" applyFont="1" applyBorder="1" applyAlignment="1">
      <alignment horizontal="center"/>
    </xf>
    <xf numFmtId="2" fontId="47" fillId="0" borderId="4" xfId="0" applyNumberFormat="1" applyFont="1" applyBorder="1" applyAlignment="1">
      <alignment horizontal="center"/>
    </xf>
    <xf numFmtId="2" fontId="48" fillId="9" borderId="0" xfId="0" applyNumberFormat="1" applyFont="1" applyFill="1"/>
    <xf numFmtId="170" fontId="0" fillId="0" borderId="0" xfId="0" applyNumberFormat="1" applyFill="1" applyAlignment="1">
      <alignment horizontal="right"/>
    </xf>
    <xf numFmtId="168" fontId="48" fillId="9" borderId="0" xfId="0" applyNumberFormat="1" applyFont="1" applyFill="1"/>
    <xf numFmtId="0" fontId="49" fillId="3" borderId="0" xfId="0" applyFont="1" applyFill="1" applyBorder="1" applyAlignment="1">
      <alignment horizontal="right"/>
    </xf>
    <xf numFmtId="2" fontId="49" fillId="3" borderId="4" xfId="0" applyNumberFormat="1" applyFont="1" applyFill="1" applyBorder="1" applyAlignment="1">
      <alignment horizontal="center"/>
    </xf>
    <xf numFmtId="168" fontId="49" fillId="3" borderId="4" xfId="0" applyNumberFormat="1" applyFont="1" applyFill="1" applyBorder="1" applyAlignment="1">
      <alignment horizontal="center"/>
    </xf>
    <xf numFmtId="0" fontId="40" fillId="0" borderId="1" xfId="0" applyFont="1" applyFill="1" applyBorder="1"/>
    <xf numFmtId="0" fontId="40" fillId="0" borderId="0" xfId="0" applyFont="1" applyFill="1" applyBorder="1" applyAlignment="1">
      <alignment horizontal="right"/>
    </xf>
    <xf numFmtId="2" fontId="40" fillId="0" borderId="4" xfId="0" applyNumberFormat="1" applyFont="1" applyFill="1" applyBorder="1" applyAlignment="1">
      <alignment horizontal="center"/>
    </xf>
    <xf numFmtId="168" fontId="40" fillId="0" borderId="4" xfId="0" applyNumberFormat="1" applyFont="1" applyFill="1" applyBorder="1" applyAlignment="1">
      <alignment horizontal="center"/>
    </xf>
    <xf numFmtId="0" fontId="0" fillId="10" borderId="0" xfId="0" applyFill="1"/>
    <xf numFmtId="0" fontId="3" fillId="10" borderId="0" xfId="0" applyFont="1" applyFill="1" applyAlignment="1">
      <alignment horizontal="right"/>
    </xf>
    <xf numFmtId="1" fontId="26" fillId="10" borderId="0" xfId="0" applyNumberFormat="1" applyFont="1" applyFill="1" applyAlignment="1">
      <alignment horizontal="center"/>
    </xf>
    <xf numFmtId="2" fontId="48" fillId="2" borderId="0" xfId="0" applyNumberFormat="1" applyFont="1" applyFill="1" applyAlignment="1">
      <alignment horizontal="right"/>
    </xf>
    <xf numFmtId="0" fontId="52" fillId="0" borderId="4" xfId="0" applyFont="1" applyBorder="1" applyAlignment="1">
      <alignment horizontal="center" wrapText="1"/>
    </xf>
    <xf numFmtId="2" fontId="16" fillId="0" borderId="0" xfId="0" applyNumberFormat="1" applyFont="1" applyBorder="1" applyAlignment="1">
      <alignment horizontal="right"/>
    </xf>
    <xf numFmtId="2" fontId="3" fillId="0" borderId="0" xfId="0" applyNumberFormat="1" applyFont="1" applyBorder="1"/>
    <xf numFmtId="2" fontId="3" fillId="0" borderId="0" xfId="0" applyNumberFormat="1" applyFont="1"/>
    <xf numFmtId="168" fontId="3" fillId="0" borderId="0" xfId="0" applyNumberFormat="1" applyFont="1" applyBorder="1"/>
    <xf numFmtId="2" fontId="0" fillId="2" borderId="13" xfId="0" applyNumberFormat="1" applyFill="1" applyBorder="1" applyAlignment="1">
      <alignment horizontal="right"/>
    </xf>
    <xf numFmtId="0" fontId="3" fillId="2" borderId="14" xfId="0" applyFont="1" applyFill="1" applyBorder="1" applyAlignment="1">
      <alignment horizontal="right"/>
    </xf>
    <xf numFmtId="2" fontId="16" fillId="2" borderId="14" xfId="0" applyNumberFormat="1" applyFont="1" applyFill="1" applyBorder="1" applyAlignment="1">
      <alignment horizontal="right"/>
    </xf>
    <xf numFmtId="2" fontId="16" fillId="2" borderId="12" xfId="0" applyNumberFormat="1" applyFont="1" applyFill="1" applyBorder="1" applyAlignment="1">
      <alignment horizontal="right"/>
    </xf>
    <xf numFmtId="2" fontId="0" fillId="2" borderId="2" xfId="0" applyNumberFormat="1" applyFill="1" applyBorder="1" applyAlignment="1">
      <alignment horizontal="right"/>
    </xf>
    <xf numFmtId="0" fontId="3" fillId="2" borderId="9" xfId="0" applyFont="1" applyFill="1" applyBorder="1" applyAlignment="1">
      <alignment horizontal="right"/>
    </xf>
    <xf numFmtId="2" fontId="16" fillId="2" borderId="9" xfId="0" applyNumberFormat="1" applyFont="1" applyFill="1" applyBorder="1" applyAlignment="1">
      <alignment horizontal="right"/>
    </xf>
    <xf numFmtId="2" fontId="16" fillId="2" borderId="11" xfId="0" applyNumberFormat="1" applyFont="1" applyFill="1" applyBorder="1" applyAlignment="1">
      <alignment horizontal="right"/>
    </xf>
    <xf numFmtId="168" fontId="0" fillId="2" borderId="13" xfId="0" applyNumberFormat="1" applyFill="1" applyBorder="1" applyAlignment="1">
      <alignment horizontal="right"/>
    </xf>
    <xf numFmtId="168" fontId="0" fillId="2" borderId="14" xfId="0" applyNumberFormat="1" applyFill="1" applyBorder="1" applyAlignment="1">
      <alignment horizontal="right"/>
    </xf>
    <xf numFmtId="168" fontId="16" fillId="2" borderId="14" xfId="0" applyNumberFormat="1" applyFont="1" applyFill="1" applyBorder="1" applyAlignment="1">
      <alignment horizontal="right"/>
    </xf>
    <xf numFmtId="168" fontId="16" fillId="2" borderId="12" xfId="0" applyNumberFormat="1" applyFont="1" applyFill="1" applyBorder="1" applyAlignment="1">
      <alignment horizontal="right"/>
    </xf>
    <xf numFmtId="168" fontId="0" fillId="2" borderId="2" xfId="0" applyNumberFormat="1" applyFill="1" applyBorder="1" applyAlignment="1">
      <alignment horizontal="right"/>
    </xf>
    <xf numFmtId="168" fontId="16" fillId="2" borderId="9" xfId="0" applyNumberFormat="1" applyFont="1" applyFill="1" applyBorder="1" applyAlignment="1">
      <alignment horizontal="right"/>
    </xf>
    <xf numFmtId="168" fontId="16" fillId="2" borderId="11" xfId="0" applyNumberFormat="1" applyFont="1" applyFill="1" applyBorder="1" applyAlignment="1">
      <alignment horizontal="right"/>
    </xf>
    <xf numFmtId="170" fontId="16" fillId="2" borderId="14" xfId="0" applyNumberFormat="1" applyFont="1" applyFill="1" applyBorder="1" applyAlignment="1">
      <alignment horizontal="right"/>
    </xf>
    <xf numFmtId="170" fontId="16" fillId="2" borderId="12" xfId="0" applyNumberFormat="1" applyFont="1" applyFill="1" applyBorder="1" applyAlignment="1">
      <alignment horizontal="right"/>
    </xf>
    <xf numFmtId="1" fontId="31" fillId="2" borderId="0" xfId="0" applyNumberFormat="1" applyFont="1" applyFill="1" applyAlignment="1">
      <alignment horizontal="right"/>
    </xf>
    <xf numFmtId="2" fontId="5" fillId="8" borderId="0" xfId="0" applyNumberFormat="1" applyFont="1" applyFill="1" applyAlignment="1">
      <alignment horizontal="left"/>
    </xf>
    <xf numFmtId="2" fontId="3" fillId="5" borderId="0" xfId="0" applyNumberFormat="1" applyFont="1" applyFill="1" applyBorder="1" applyAlignment="1">
      <alignment horizontal="right"/>
    </xf>
    <xf numFmtId="0" fontId="52" fillId="0" borderId="3" xfId="0" applyFont="1" applyBorder="1" applyAlignment="1">
      <alignment horizontal="center" wrapText="1"/>
    </xf>
    <xf numFmtId="0" fontId="52" fillId="0" borderId="8" xfId="0" applyFont="1" applyBorder="1" applyAlignment="1">
      <alignment horizontal="center" wrapText="1"/>
    </xf>
    <xf numFmtId="0" fontId="5" fillId="0" borderId="0" xfId="0" applyFont="1" applyFill="1" applyAlignment="1">
      <alignment horizontal="left"/>
    </xf>
    <xf numFmtId="2" fontId="51" fillId="0" borderId="0" xfId="0" applyNumberFormat="1" applyFont="1" applyFill="1" applyAlignment="1">
      <alignment horizontal="center"/>
    </xf>
    <xf numFmtId="0" fontId="53" fillId="0" borderId="1" xfId="0" quotePrefix="1" applyFont="1" applyBorder="1" applyAlignment="1">
      <alignment horizontal="right"/>
    </xf>
    <xf numFmtId="0" fontId="54" fillId="0" borderId="2" xfId="0" quotePrefix="1" applyFont="1" applyBorder="1" applyAlignment="1">
      <alignment horizontal="right"/>
    </xf>
    <xf numFmtId="0" fontId="55" fillId="0" borderId="0" xfId="0" applyFont="1" applyBorder="1" applyAlignment="1">
      <alignment vertical="center" wrapText="1"/>
    </xf>
    <xf numFmtId="2" fontId="51" fillId="0" borderId="3" xfId="0" applyNumberFormat="1" applyFont="1" applyFill="1" applyBorder="1" applyAlignment="1">
      <alignment horizontal="center"/>
    </xf>
    <xf numFmtId="168" fontId="51" fillId="0" borderId="3" xfId="0" applyNumberFormat="1" applyFont="1" applyFill="1" applyBorder="1" applyAlignment="1">
      <alignment horizontal="center"/>
    </xf>
    <xf numFmtId="2" fontId="50" fillId="0" borderId="15" xfId="0" applyNumberFormat="1" applyFont="1" applyFill="1" applyBorder="1" applyAlignment="1">
      <alignment horizontal="center"/>
    </xf>
    <xf numFmtId="2" fontId="50" fillId="0" borderId="16" xfId="0" applyNumberFormat="1" applyFont="1" applyFill="1" applyBorder="1" applyAlignment="1">
      <alignment horizontal="center"/>
    </xf>
    <xf numFmtId="168" fontId="50" fillId="0" borderId="16" xfId="0" applyNumberFormat="1" applyFont="1" applyFill="1" applyBorder="1" applyAlignment="1">
      <alignment horizontal="center"/>
    </xf>
    <xf numFmtId="0" fontId="56" fillId="0" borderId="0" xfId="0" applyFont="1"/>
    <xf numFmtId="0" fontId="0" fillId="0" borderId="0" xfId="0" applyFill="1" applyAlignment="1">
      <alignment horizontal="right"/>
    </xf>
    <xf numFmtId="0" fontId="1" fillId="0" borderId="17" xfId="0" applyFont="1" applyBorder="1" applyAlignment="1">
      <alignment horizontal="right"/>
    </xf>
    <xf numFmtId="0" fontId="1" fillId="0" borderId="0" xfId="0" applyFont="1" applyBorder="1" applyAlignment="1">
      <alignment horizontal="left" vertical="center"/>
    </xf>
    <xf numFmtId="0" fontId="32" fillId="4" borderId="9" xfId="0" applyFont="1" applyFill="1" applyBorder="1" applyAlignment="1">
      <alignment wrapText="1"/>
    </xf>
    <xf numFmtId="1" fontId="52" fillId="0" borderId="4" xfId="0" applyNumberFormat="1" applyFont="1" applyBorder="1" applyAlignment="1">
      <alignment horizontal="center" wrapText="1"/>
    </xf>
    <xf numFmtId="2" fontId="60" fillId="0" borderId="4" xfId="0" applyNumberFormat="1" applyFont="1" applyBorder="1" applyAlignment="1">
      <alignment horizontal="center"/>
    </xf>
    <xf numFmtId="0" fontId="52" fillId="0" borderId="4" xfId="0" applyFont="1" applyFill="1" applyBorder="1" applyAlignment="1">
      <alignment horizontal="center" wrapText="1"/>
    </xf>
    <xf numFmtId="0" fontId="56" fillId="0" borderId="18" xfId="0" applyFont="1" applyBorder="1" applyAlignment="1">
      <alignment wrapText="1"/>
    </xf>
    <xf numFmtId="0" fontId="1" fillId="0" borderId="19" xfId="0" applyFont="1" applyBorder="1" applyAlignment="1">
      <alignment horizontal="right"/>
    </xf>
    <xf numFmtId="0" fontId="1" fillId="0" borderId="20" xfId="0" applyFont="1" applyBorder="1" applyAlignment="1">
      <alignment horizontal="left" vertical="center"/>
    </xf>
    <xf numFmtId="0" fontId="55" fillId="0" borderId="18" xfId="0" applyFont="1" applyBorder="1" applyAlignment="1">
      <alignment vertical="center" wrapText="1"/>
    </xf>
    <xf numFmtId="0" fontId="0" fillId="0" borderId="18" xfId="0" applyBorder="1"/>
    <xf numFmtId="0" fontId="0" fillId="0" borderId="0" xfId="0" applyFill="1" applyBorder="1" applyAlignment="1">
      <alignment horizontal="right"/>
    </xf>
    <xf numFmtId="2" fontId="50" fillId="0" borderId="0" xfId="0" applyNumberFormat="1" applyFont="1" applyFill="1" applyBorder="1" applyAlignment="1">
      <alignment horizontal="center"/>
    </xf>
    <xf numFmtId="1" fontId="45" fillId="0" borderId="4" xfId="0" applyNumberFormat="1" applyFont="1" applyFill="1" applyBorder="1" applyAlignment="1">
      <alignment horizontal="center"/>
    </xf>
    <xf numFmtId="168" fontId="51" fillId="0" borderId="4" xfId="0" applyNumberFormat="1" applyFont="1" applyFill="1" applyBorder="1" applyAlignment="1">
      <alignment horizontal="center"/>
    </xf>
    <xf numFmtId="2" fontId="51" fillId="0" borderId="4" xfId="0" applyNumberFormat="1" applyFont="1" applyFill="1" applyBorder="1" applyAlignment="1">
      <alignment horizontal="center"/>
    </xf>
    <xf numFmtId="1" fontId="51" fillId="0" borderId="4" xfId="0" applyNumberFormat="1" applyFont="1" applyFill="1" applyBorder="1" applyAlignment="1">
      <alignment horizontal="center"/>
    </xf>
    <xf numFmtId="2" fontId="50" fillId="0" borderId="21" xfId="0" applyNumberFormat="1" applyFont="1" applyFill="1" applyBorder="1" applyAlignment="1">
      <alignment horizontal="center"/>
    </xf>
    <xf numFmtId="0" fontId="0" fillId="0" borderId="0" xfId="0" applyFill="1" applyBorder="1"/>
    <xf numFmtId="0" fontId="0" fillId="0" borderId="12" xfId="0" applyFill="1" applyBorder="1" applyAlignment="1">
      <alignment horizontal="right"/>
    </xf>
    <xf numFmtId="0" fontId="0" fillId="0" borderId="7" xfId="0" applyFill="1" applyBorder="1" applyAlignment="1">
      <alignment horizontal="right"/>
    </xf>
    <xf numFmtId="0" fontId="0" fillId="0" borderId="22" xfId="0" applyFill="1" applyBorder="1" applyAlignment="1">
      <alignment horizontal="right"/>
    </xf>
    <xf numFmtId="2" fontId="47" fillId="0" borderId="4" xfId="0" quotePrefix="1" applyNumberFormat="1" applyFont="1" applyBorder="1" applyAlignment="1">
      <alignment horizontal="center"/>
    </xf>
    <xf numFmtId="1" fontId="51" fillId="0" borderId="9" xfId="0" applyNumberFormat="1" applyFont="1" applyFill="1" applyBorder="1" applyAlignment="1">
      <alignment horizontal="center"/>
    </xf>
    <xf numFmtId="2" fontId="51" fillId="0" borderId="23" xfId="0" applyNumberFormat="1" applyFont="1" applyFill="1" applyBorder="1" applyAlignment="1">
      <alignment horizontal="center"/>
    </xf>
    <xf numFmtId="0" fontId="56" fillId="0" borderId="18" xfId="0" applyFont="1" applyBorder="1"/>
    <xf numFmtId="2" fontId="63" fillId="9" borderId="0" xfId="0" applyNumberFormat="1" applyFont="1" applyFill="1"/>
    <xf numFmtId="168" fontId="63" fillId="9" borderId="0" xfId="0" applyNumberFormat="1" applyFont="1" applyFill="1"/>
    <xf numFmtId="0" fontId="1" fillId="0" borderId="1" xfId="0" applyFont="1" applyBorder="1"/>
    <xf numFmtId="0" fontId="56" fillId="0" borderId="3" xfId="0" applyFont="1" applyBorder="1" applyAlignment="1">
      <alignment horizontal="right"/>
    </xf>
    <xf numFmtId="1" fontId="64" fillId="0" borderId="3" xfId="0" applyNumberFormat="1" applyFont="1" applyFill="1" applyBorder="1" applyAlignment="1">
      <alignment horizontal="center"/>
    </xf>
    <xf numFmtId="0" fontId="64" fillId="0" borderId="0" xfId="0" applyFont="1"/>
    <xf numFmtId="0" fontId="64" fillId="0" borderId="1" xfId="0" applyFont="1" applyBorder="1"/>
    <xf numFmtId="1" fontId="64" fillId="0" borderId="3" xfId="0" applyNumberFormat="1" applyFont="1" applyBorder="1" applyAlignment="1">
      <alignment horizontal="center"/>
    </xf>
    <xf numFmtId="0" fontId="56" fillId="0" borderId="0" xfId="0" applyFont="1" applyBorder="1" applyAlignment="1">
      <alignment horizontal="right"/>
    </xf>
    <xf numFmtId="0" fontId="8" fillId="0" borderId="0" xfId="0" applyFont="1" applyFill="1"/>
    <xf numFmtId="0" fontId="8" fillId="0" borderId="18" xfId="0" applyFont="1" applyBorder="1"/>
    <xf numFmtId="0" fontId="3" fillId="0" borderId="17" xfId="0" applyFont="1" applyBorder="1" applyAlignment="1">
      <alignment horizontal="right"/>
    </xf>
    <xf numFmtId="0" fontId="3" fillId="0" borderId="19" xfId="0" applyFont="1" applyBorder="1" applyAlignment="1">
      <alignment horizontal="right"/>
    </xf>
    <xf numFmtId="0" fontId="3" fillId="0" borderId="20" xfId="0" applyFont="1" applyBorder="1" applyAlignment="1">
      <alignment horizontal="left" vertical="center"/>
    </xf>
    <xf numFmtId="2" fontId="65" fillId="0" borderId="16" xfId="0" applyNumberFormat="1" applyFont="1" applyFill="1" applyBorder="1" applyAlignment="1">
      <alignment horizontal="center"/>
    </xf>
    <xf numFmtId="168" fontId="65" fillId="0" borderId="16" xfId="0" applyNumberFormat="1" applyFont="1" applyFill="1" applyBorder="1" applyAlignment="1">
      <alignment horizontal="center"/>
    </xf>
    <xf numFmtId="0" fontId="0" fillId="0" borderId="0" xfId="0" applyFont="1" applyFill="1" applyBorder="1" applyAlignment="1">
      <alignment horizontal="left"/>
    </xf>
    <xf numFmtId="2" fontId="65" fillId="0" borderId="24" xfId="0" applyNumberFormat="1" applyFont="1" applyFill="1" applyBorder="1" applyAlignment="1">
      <alignment horizontal="center"/>
    </xf>
    <xf numFmtId="168" fontId="65" fillId="0" borderId="25" xfId="0" applyNumberFormat="1" applyFont="1" applyFill="1" applyBorder="1" applyAlignment="1">
      <alignment horizontal="center"/>
    </xf>
    <xf numFmtId="2" fontId="65" fillId="0" borderId="25" xfId="0" applyNumberFormat="1" applyFont="1" applyFill="1" applyBorder="1" applyAlignment="1">
      <alignment horizontal="center"/>
    </xf>
    <xf numFmtId="0" fontId="3" fillId="0" borderId="0" xfId="0" applyFont="1" applyAlignment="1">
      <alignment horizontal="center"/>
    </xf>
    <xf numFmtId="2" fontId="51" fillId="0" borderId="0" xfId="0" applyNumberFormat="1" applyFont="1" applyFill="1" applyBorder="1" applyAlignment="1">
      <alignment horizontal="center"/>
    </xf>
    <xf numFmtId="0" fontId="66" fillId="0" borderId="0" xfId="0" applyFont="1"/>
    <xf numFmtId="0" fontId="3" fillId="0" borderId="0" xfId="0" applyFont="1" applyFill="1" applyBorder="1" applyAlignment="1">
      <alignment horizontal="left"/>
    </xf>
    <xf numFmtId="168" fontId="30" fillId="11" borderId="12" xfId="0" applyNumberFormat="1" applyFont="1" applyFill="1" applyBorder="1" applyAlignment="1">
      <alignment horizontal="center"/>
    </xf>
    <xf numFmtId="168" fontId="30" fillId="11" borderId="4" xfId="0" applyNumberFormat="1" applyFont="1" applyFill="1" applyBorder="1" applyAlignment="1">
      <alignment horizontal="left"/>
    </xf>
    <xf numFmtId="168" fontId="30" fillId="11" borderId="4" xfId="0" applyNumberFormat="1" applyFont="1" applyFill="1" applyBorder="1" applyAlignment="1">
      <alignment horizontal="right"/>
    </xf>
    <xf numFmtId="2" fontId="30" fillId="11" borderId="4" xfId="0" applyNumberFormat="1" applyFont="1" applyFill="1" applyBorder="1" applyAlignment="1">
      <alignment horizontal="center"/>
    </xf>
    <xf numFmtId="168" fontId="30" fillId="11" borderId="4" xfId="0" applyNumberFormat="1" applyFont="1" applyFill="1" applyBorder="1"/>
    <xf numFmtId="2" fontId="48" fillId="11" borderId="0" xfId="0" applyNumberFormat="1" applyFont="1" applyFill="1" applyAlignment="1">
      <alignment horizontal="right"/>
    </xf>
    <xf numFmtId="2" fontId="0" fillId="11" borderId="0" xfId="0" applyNumberFormat="1" applyFill="1" applyAlignment="1">
      <alignment horizontal="right"/>
    </xf>
    <xf numFmtId="168" fontId="3" fillId="11" borderId="0" xfId="0" applyNumberFormat="1" applyFont="1" applyFill="1" applyBorder="1" applyAlignment="1">
      <alignment horizontal="right"/>
    </xf>
    <xf numFmtId="0" fontId="3" fillId="0" borderId="0" xfId="1"/>
    <xf numFmtId="0" fontId="69" fillId="0" borderId="35" xfId="1" applyFont="1" applyBorder="1" applyAlignment="1">
      <alignment horizontal="center" wrapText="1"/>
    </xf>
    <xf numFmtId="0" fontId="69" fillId="0" borderId="36" xfId="1" applyFont="1" applyBorder="1" applyAlignment="1">
      <alignment horizontal="center" wrapText="1"/>
    </xf>
    <xf numFmtId="172" fontId="69" fillId="0" borderId="37" xfId="1" applyNumberFormat="1" applyFont="1" applyBorder="1" applyAlignment="1">
      <alignment horizontal="right" vertical="center"/>
    </xf>
    <xf numFmtId="172" fontId="69" fillId="0" borderId="38" xfId="1" applyNumberFormat="1" applyFont="1" applyBorder="1" applyAlignment="1">
      <alignment horizontal="right" vertical="center"/>
    </xf>
    <xf numFmtId="173" fontId="69" fillId="0" borderId="38" xfId="1" applyNumberFormat="1" applyFont="1" applyBorder="1" applyAlignment="1">
      <alignment horizontal="right" vertical="center"/>
    </xf>
    <xf numFmtId="174" fontId="69" fillId="0" borderId="38" xfId="1" applyNumberFormat="1" applyFont="1" applyBorder="1" applyAlignment="1">
      <alignment horizontal="right" vertical="center"/>
    </xf>
    <xf numFmtId="172" fontId="69" fillId="0" borderId="39" xfId="1" applyNumberFormat="1" applyFont="1" applyBorder="1" applyAlignment="1">
      <alignment horizontal="right" vertical="center"/>
    </xf>
    <xf numFmtId="0" fontId="69" fillId="0" borderId="32" xfId="1" applyFont="1" applyBorder="1" applyAlignment="1">
      <alignment horizontal="left" vertical="top" wrapText="1"/>
    </xf>
    <xf numFmtId="0" fontId="69" fillId="0" borderId="33" xfId="1" applyFont="1" applyBorder="1" applyAlignment="1">
      <alignment horizontal="left" vertical="top" wrapText="1"/>
    </xf>
    <xf numFmtId="172" fontId="69" fillId="0" borderId="40" xfId="1" applyNumberFormat="1" applyFont="1" applyBorder="1" applyAlignment="1">
      <alignment horizontal="right" vertical="center"/>
    </xf>
    <xf numFmtId="172" fontId="69" fillId="0" borderId="41" xfId="1" applyNumberFormat="1" applyFont="1" applyBorder="1" applyAlignment="1">
      <alignment horizontal="right" vertical="center"/>
    </xf>
    <xf numFmtId="174" fontId="69" fillId="0" borderId="41" xfId="1" applyNumberFormat="1" applyFont="1" applyBorder="1" applyAlignment="1">
      <alignment horizontal="right" vertical="center"/>
    </xf>
    <xf numFmtId="172" fontId="69" fillId="0" borderId="42" xfId="1" applyNumberFormat="1" applyFont="1" applyBorder="1" applyAlignment="1">
      <alignment horizontal="right" vertical="center"/>
    </xf>
    <xf numFmtId="175" fontId="0" fillId="0" borderId="0" xfId="0" applyNumberFormat="1"/>
    <xf numFmtId="2" fontId="39" fillId="11" borderId="3" xfId="0" applyNumberFormat="1" applyFont="1" applyFill="1" applyBorder="1" applyAlignment="1">
      <alignment horizontal="center"/>
    </xf>
    <xf numFmtId="2" fontId="30" fillId="11" borderId="4" xfId="0" applyNumberFormat="1" applyFont="1" applyFill="1" applyBorder="1" applyAlignment="1">
      <alignment horizontal="left"/>
    </xf>
    <xf numFmtId="2" fontId="30" fillId="11" borderId="4" xfId="0" applyNumberFormat="1" applyFont="1" applyFill="1" applyBorder="1" applyAlignment="1">
      <alignment horizontal="right"/>
    </xf>
    <xf numFmtId="171" fontId="0" fillId="0" borderId="0" xfId="0" applyNumberFormat="1"/>
    <xf numFmtId="173" fontId="69" fillId="0" borderId="41" xfId="1" applyNumberFormat="1" applyFont="1" applyBorder="1" applyAlignment="1">
      <alignment horizontal="right" vertical="center"/>
    </xf>
    <xf numFmtId="0" fontId="69" fillId="0" borderId="27" xfId="1" applyFont="1" applyBorder="1" applyAlignment="1">
      <alignment horizontal="left" vertical="top" wrapText="1"/>
    </xf>
    <xf numFmtId="0" fontId="69" fillId="0" borderId="28" xfId="1" applyFont="1" applyBorder="1" applyAlignment="1">
      <alignment horizontal="left" vertical="top" wrapText="1"/>
    </xf>
    <xf numFmtId="0" fontId="69" fillId="0" borderId="0" xfId="1" applyFont="1" applyBorder="1" applyAlignment="1">
      <alignment horizontal="left" vertical="top" wrapText="1"/>
    </xf>
    <xf numFmtId="0" fontId="69" fillId="0" borderId="27" xfId="1" applyFont="1" applyBorder="1" applyAlignment="1">
      <alignment horizontal="left" wrapText="1"/>
    </xf>
    <xf numFmtId="0" fontId="69" fillId="0" borderId="28" xfId="1" applyFont="1" applyBorder="1" applyAlignment="1">
      <alignment horizontal="left" wrapText="1"/>
    </xf>
    <xf numFmtId="0" fontId="69" fillId="0" borderId="32" xfId="1" applyFont="1" applyBorder="1" applyAlignment="1">
      <alignment horizontal="left" wrapText="1"/>
    </xf>
    <xf numFmtId="0" fontId="69" fillId="0" borderId="33" xfId="1" applyFont="1" applyBorder="1" applyAlignment="1">
      <alignment horizontal="left" wrapText="1"/>
    </xf>
    <xf numFmtId="0" fontId="69" fillId="0" borderId="29" xfId="1" applyFont="1" applyBorder="1" applyAlignment="1">
      <alignment horizontal="center" wrapText="1"/>
    </xf>
    <xf numFmtId="0" fontId="69" fillId="0" borderId="34" xfId="1" applyFont="1" applyBorder="1" applyAlignment="1">
      <alignment horizontal="center" wrapText="1"/>
    </xf>
    <xf numFmtId="0" fontId="69" fillId="0" borderId="30" xfId="1" applyFont="1" applyBorder="1" applyAlignment="1">
      <alignment horizontal="center" wrapText="1"/>
    </xf>
    <xf numFmtId="0" fontId="69" fillId="0" borderId="35" xfId="1" applyFont="1" applyBorder="1" applyAlignment="1">
      <alignment horizontal="center" wrapText="1"/>
    </xf>
    <xf numFmtId="0" fontId="69" fillId="0" borderId="31" xfId="1" applyFont="1" applyBorder="1" applyAlignment="1">
      <alignment horizontal="center" wrapText="1"/>
    </xf>
    <xf numFmtId="0" fontId="56" fillId="0" borderId="1" xfId="0" applyFont="1" applyBorder="1" applyAlignment="1">
      <alignment horizontal="right" wrapText="1"/>
    </xf>
    <xf numFmtId="0" fontId="56" fillId="0" borderId="3" xfId="0" applyFont="1" applyBorder="1" applyAlignment="1">
      <alignment horizontal="right" wrapText="1"/>
    </xf>
    <xf numFmtId="0" fontId="38" fillId="0" borderId="13" xfId="0" applyFont="1" applyBorder="1" applyAlignment="1">
      <alignment horizontal="right" vertical="center" wrapText="1"/>
    </xf>
    <xf numFmtId="0" fontId="38" fillId="0" borderId="2" xfId="0" applyFont="1" applyBorder="1" applyAlignment="1">
      <alignment horizontal="right" vertical="center" wrapText="1"/>
    </xf>
    <xf numFmtId="0" fontId="61" fillId="0" borderId="13" xfId="0" applyFont="1" applyBorder="1" applyAlignment="1">
      <alignment horizontal="right" vertical="center" wrapText="1"/>
    </xf>
    <xf numFmtId="0" fontId="61" fillId="0" borderId="2" xfId="0" applyFont="1" applyBorder="1" applyAlignment="1">
      <alignment horizontal="right" vertical="center" wrapText="1"/>
    </xf>
    <xf numFmtId="0" fontId="39" fillId="0" borderId="13" xfId="0" quotePrefix="1" applyFont="1" applyBorder="1" applyAlignment="1">
      <alignment horizontal="right" vertical="center" wrapText="1"/>
    </xf>
    <xf numFmtId="0" fontId="39" fillId="0" borderId="2" xfId="0" applyFont="1" applyBorder="1" applyAlignment="1">
      <alignment horizontal="right" vertical="center" wrapText="1"/>
    </xf>
    <xf numFmtId="0" fontId="0" fillId="0" borderId="10" xfId="0" applyBorder="1" applyAlignment="1">
      <alignment horizontal="right" vertical="center" wrapText="1"/>
    </xf>
    <xf numFmtId="0" fontId="0" fillId="0" borderId="5" xfId="0" applyBorder="1" applyAlignment="1">
      <alignment horizontal="right" vertical="center" wrapText="1"/>
    </xf>
    <xf numFmtId="0" fontId="36" fillId="5" borderId="1" xfId="0" applyFont="1" applyFill="1" applyBorder="1" applyAlignment="1">
      <alignment horizontal="left" vertical="top" wrapText="1"/>
    </xf>
    <xf numFmtId="0" fontId="36" fillId="5" borderId="3" xfId="0" applyFont="1" applyFill="1" applyBorder="1" applyAlignment="1">
      <alignment horizontal="left" vertical="top" wrapText="1"/>
    </xf>
    <xf numFmtId="0" fontId="8" fillId="0" borderId="13" xfId="0" applyFont="1" applyBorder="1" applyAlignment="1">
      <alignment horizontal="right" vertical="center" wrapText="1"/>
    </xf>
    <xf numFmtId="0" fontId="8" fillId="0" borderId="6" xfId="0" applyFont="1" applyBorder="1" applyAlignment="1">
      <alignment horizontal="right" vertical="center" wrapText="1"/>
    </xf>
    <xf numFmtId="0" fontId="57" fillId="0" borderId="13" xfId="0" quotePrefix="1" applyFont="1" applyBorder="1" applyAlignment="1">
      <alignment horizontal="right" vertical="center" wrapText="1"/>
    </xf>
    <xf numFmtId="0" fontId="57" fillId="0" borderId="6" xfId="0" applyFont="1" applyBorder="1" applyAlignment="1">
      <alignment horizontal="right" vertical="center" wrapText="1"/>
    </xf>
    <xf numFmtId="0" fontId="8" fillId="0" borderId="1" xfId="0" applyFont="1" applyFill="1" applyBorder="1" applyAlignment="1">
      <alignment horizontal="right"/>
    </xf>
    <xf numFmtId="0" fontId="8" fillId="0" borderId="3" xfId="0" applyFont="1" applyFill="1" applyBorder="1" applyAlignment="1">
      <alignment horizontal="right"/>
    </xf>
    <xf numFmtId="0" fontId="1" fillId="0" borderId="6" xfId="0" applyFont="1" applyBorder="1" applyAlignment="1">
      <alignment horizontal="right" vertical="center" wrapText="1"/>
    </xf>
    <xf numFmtId="0" fontId="1" fillId="0" borderId="6" xfId="0" applyFont="1" applyBorder="1" applyAlignment="1">
      <alignment horizontal="right" vertical="center"/>
    </xf>
    <xf numFmtId="0" fontId="1" fillId="0" borderId="2" xfId="0" applyFont="1" applyBorder="1" applyAlignment="1">
      <alignment horizontal="right" vertical="center"/>
    </xf>
    <xf numFmtId="0" fontId="2" fillId="6" borderId="1" xfId="0" applyFont="1" applyFill="1" applyBorder="1" applyAlignment="1">
      <alignment horizontal="left" vertical="center" wrapText="1"/>
    </xf>
    <xf numFmtId="0" fontId="2" fillId="6" borderId="3" xfId="0" applyFont="1" applyFill="1" applyBorder="1" applyAlignment="1">
      <alignment horizontal="left" vertical="center" wrapText="1"/>
    </xf>
    <xf numFmtId="0" fontId="57" fillId="0" borderId="13" xfId="0" applyFont="1" applyBorder="1" applyAlignment="1">
      <alignment horizontal="right" vertical="center" wrapText="1"/>
    </xf>
    <xf numFmtId="0" fontId="57" fillId="0" borderId="2" xfId="0" applyFont="1" applyBorder="1" applyAlignment="1">
      <alignment horizontal="right" vertical="center" wrapText="1"/>
    </xf>
    <xf numFmtId="0" fontId="42" fillId="0" borderId="2" xfId="0" applyFont="1" applyBorder="1" applyAlignment="1">
      <alignment horizontal="right" vertical="center" wrapText="1"/>
    </xf>
    <xf numFmtId="0" fontId="39" fillId="9" borderId="1" xfId="0" applyFont="1" applyFill="1" applyBorder="1" applyAlignment="1">
      <alignment horizontal="left" vertical="center" wrapText="1"/>
    </xf>
    <xf numFmtId="0" fontId="39" fillId="9" borderId="3" xfId="0" applyFont="1" applyFill="1" applyBorder="1" applyAlignment="1">
      <alignment horizontal="left" vertical="center" wrapText="1"/>
    </xf>
    <xf numFmtId="0" fontId="58" fillId="0" borderId="13" xfId="0" applyFont="1" applyBorder="1" applyAlignment="1">
      <alignment horizontal="right" vertical="center" wrapText="1"/>
    </xf>
    <xf numFmtId="0" fontId="58" fillId="0" borderId="2" xfId="0" applyFont="1" applyBorder="1" applyAlignment="1">
      <alignment horizontal="right" vertical="center" wrapText="1"/>
    </xf>
    <xf numFmtId="0" fontId="39" fillId="0" borderId="13" xfId="0" applyFont="1" applyBorder="1" applyAlignment="1">
      <alignment horizontal="right" vertical="center" wrapText="1"/>
    </xf>
    <xf numFmtId="0" fontId="41" fillId="0" borderId="13" xfId="0" applyFont="1" applyBorder="1" applyAlignment="1">
      <alignment horizontal="right" vertical="center" wrapText="1"/>
    </xf>
    <xf numFmtId="0" fontId="41" fillId="0" borderId="2" xfId="0" applyFont="1" applyBorder="1" applyAlignment="1">
      <alignment horizontal="right" vertical="center" wrapText="1"/>
    </xf>
    <xf numFmtId="0" fontId="0" fillId="0" borderId="6" xfId="0" applyBorder="1" applyAlignment="1">
      <alignment horizontal="right" vertical="center" wrapText="1"/>
    </xf>
    <xf numFmtId="0" fontId="0" fillId="0" borderId="6" xfId="0" applyBorder="1" applyAlignment="1">
      <alignment horizontal="right" vertical="center"/>
    </xf>
    <xf numFmtId="0" fontId="0" fillId="0" borderId="2" xfId="0" applyBorder="1" applyAlignment="1">
      <alignment horizontal="right" vertical="center"/>
    </xf>
    <xf numFmtId="0" fontId="0" fillId="0" borderId="26" xfId="0" applyBorder="1" applyAlignment="1">
      <alignment horizontal="right" vertical="center"/>
    </xf>
    <xf numFmtId="0" fontId="30" fillId="0" borderId="10" xfId="0" applyFont="1" applyBorder="1" applyAlignment="1">
      <alignment horizontal="right" vertical="center" wrapText="1"/>
    </xf>
    <xf numFmtId="0" fontId="30" fillId="0" borderId="5" xfId="0" applyFont="1" applyBorder="1" applyAlignment="1">
      <alignment horizontal="right" vertical="center" wrapText="1"/>
    </xf>
    <xf numFmtId="0" fontId="40" fillId="0" borderId="13" xfId="0" applyFont="1" applyBorder="1" applyAlignment="1">
      <alignment horizontal="right" vertical="center" wrapText="1"/>
    </xf>
    <xf numFmtId="0" fontId="40" fillId="0" borderId="6" xfId="0" applyFont="1" applyBorder="1" applyAlignment="1">
      <alignment horizontal="right" vertical="center" wrapText="1"/>
    </xf>
    <xf numFmtId="0" fontId="40" fillId="0" borderId="2" xfId="0" applyFont="1" applyBorder="1" applyAlignment="1">
      <alignment horizontal="right" vertical="center" wrapText="1"/>
    </xf>
    <xf numFmtId="0" fontId="30" fillId="0" borderId="6" xfId="0" applyFont="1" applyBorder="1" applyAlignment="1">
      <alignment horizontal="right" vertical="center" wrapText="1"/>
    </xf>
    <xf numFmtId="0" fontId="30" fillId="0" borderId="6" xfId="0" applyFont="1" applyBorder="1" applyAlignment="1">
      <alignment horizontal="right" vertical="center"/>
    </xf>
    <xf numFmtId="0" fontId="30" fillId="0" borderId="2" xfId="0" applyFont="1" applyBorder="1" applyAlignment="1">
      <alignment horizontal="right" vertical="center"/>
    </xf>
    <xf numFmtId="0" fontId="59" fillId="0" borderId="13" xfId="0" quotePrefix="1" applyFont="1" applyBorder="1" applyAlignment="1">
      <alignment horizontal="right" vertical="center" wrapText="1"/>
    </xf>
    <xf numFmtId="0" fontId="21" fillId="0" borderId="2" xfId="0" applyFont="1" applyBorder="1" applyAlignment="1">
      <alignment horizontal="right" vertical="center" wrapText="1"/>
    </xf>
    <xf numFmtId="0" fontId="1" fillId="0" borderId="10" xfId="0" applyFont="1" applyBorder="1" applyAlignment="1">
      <alignment horizontal="right" vertical="center" wrapText="1"/>
    </xf>
    <xf numFmtId="0" fontId="1" fillId="0" borderId="26" xfId="0" applyFont="1" applyBorder="1" applyAlignment="1">
      <alignment horizontal="right" vertical="center" wrapText="1"/>
    </xf>
    <xf numFmtId="0" fontId="1" fillId="0" borderId="5" xfId="0" applyFont="1" applyBorder="1" applyAlignment="1">
      <alignment horizontal="right" vertical="center"/>
    </xf>
    <xf numFmtId="0" fontId="29" fillId="0" borderId="13" xfId="0" applyFont="1" applyBorder="1" applyAlignment="1">
      <alignment horizontal="right" vertical="center" wrapText="1"/>
    </xf>
    <xf numFmtId="0" fontId="29" fillId="0" borderId="2" xfId="0" applyFont="1" applyBorder="1" applyAlignment="1">
      <alignment horizontal="right" vertical="center" wrapText="1"/>
    </xf>
    <xf numFmtId="0" fontId="36" fillId="9" borderId="1" xfId="0" applyFont="1" applyFill="1" applyBorder="1" applyAlignment="1">
      <alignment horizontal="left" vertical="top" wrapText="1"/>
    </xf>
    <xf numFmtId="0" fontId="36" fillId="9" borderId="3" xfId="0" applyFont="1" applyFill="1" applyBorder="1" applyAlignment="1">
      <alignment horizontal="left" vertical="top"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36" fillId="9" borderId="1" xfId="0" applyFont="1" applyFill="1" applyBorder="1" applyAlignment="1">
      <alignment horizontal="left" vertical="center" wrapText="1"/>
    </xf>
    <xf numFmtId="0" fontId="36" fillId="9" borderId="3" xfId="0" applyFont="1" applyFill="1" applyBorder="1" applyAlignment="1">
      <alignment horizontal="left" vertical="center" wrapText="1"/>
    </xf>
    <xf numFmtId="0" fontId="33" fillId="0" borderId="1" xfId="0" applyFont="1" applyBorder="1" applyAlignment="1">
      <alignment horizontal="left" vertical="top" wrapText="1"/>
    </xf>
    <xf numFmtId="0" fontId="33" fillId="0" borderId="3" xfId="0" applyFont="1" applyBorder="1" applyAlignment="1">
      <alignment horizontal="left" vertical="top" wrapText="1"/>
    </xf>
    <xf numFmtId="0" fontId="59" fillId="0" borderId="10" xfId="0" applyFont="1" applyBorder="1" applyAlignment="1">
      <alignment horizontal="right" vertical="center" wrapText="1"/>
    </xf>
    <xf numFmtId="0" fontId="59" fillId="0" borderId="5" xfId="0" applyFont="1" applyBorder="1" applyAlignment="1">
      <alignment horizontal="right" vertical="center" wrapText="1"/>
    </xf>
    <xf numFmtId="0" fontId="8" fillId="0" borderId="6" xfId="0" applyFont="1" applyBorder="1" applyAlignment="1">
      <alignment horizontal="right" vertical="center"/>
    </xf>
    <xf numFmtId="0" fontId="8" fillId="0" borderId="2" xfId="0" applyFont="1" applyBorder="1" applyAlignment="1">
      <alignment horizontal="right" vertical="center"/>
    </xf>
    <xf numFmtId="0" fontId="2" fillId="7" borderId="1" xfId="0" applyFont="1" applyFill="1" applyBorder="1" applyAlignment="1">
      <alignment horizontal="left" vertical="center" wrapText="1"/>
    </xf>
    <xf numFmtId="0" fontId="2" fillId="7" borderId="3" xfId="0" applyFont="1" applyFill="1" applyBorder="1" applyAlignment="1">
      <alignment horizontal="left" vertical="center" wrapText="1"/>
    </xf>
    <xf numFmtId="0" fontId="8" fillId="0" borderId="10" xfId="0" applyFont="1" applyBorder="1" applyAlignment="1">
      <alignment horizontal="right" vertical="center" wrapText="1"/>
    </xf>
    <xf numFmtId="0" fontId="8" fillId="0" borderId="5" xfId="0" applyFont="1" applyBorder="1" applyAlignment="1">
      <alignment horizontal="right" vertical="center" wrapText="1"/>
    </xf>
    <xf numFmtId="0" fontId="57" fillId="0" borderId="10" xfId="0" applyFont="1" applyBorder="1" applyAlignment="1">
      <alignment horizontal="right" vertical="center" wrapText="1"/>
    </xf>
    <xf numFmtId="0" fontId="57" fillId="0" borderId="5" xfId="0" applyFont="1" applyBorder="1" applyAlignment="1">
      <alignment horizontal="right" vertical="center" wrapText="1"/>
    </xf>
    <xf numFmtId="0" fontId="29" fillId="0" borderId="6" xfId="0" applyFont="1" applyBorder="1" applyAlignment="1">
      <alignment horizontal="right" vertical="center" wrapText="1"/>
    </xf>
    <xf numFmtId="0" fontId="29" fillId="0" borderId="6" xfId="0" applyFont="1" applyBorder="1" applyAlignment="1">
      <alignment horizontal="right" vertical="center"/>
    </xf>
    <xf numFmtId="0" fontId="29" fillId="0" borderId="2" xfId="0" applyFont="1" applyBorder="1" applyAlignment="1">
      <alignment horizontal="right" vertical="center"/>
    </xf>
    <xf numFmtId="0" fontId="8" fillId="0" borderId="26" xfId="0" applyFont="1" applyBorder="1" applyAlignment="1">
      <alignment horizontal="right" vertical="center" wrapText="1"/>
    </xf>
    <xf numFmtId="0" fontId="58" fillId="0" borderId="10" xfId="0" applyFont="1" applyBorder="1" applyAlignment="1">
      <alignment horizontal="right" vertical="center" wrapText="1"/>
    </xf>
    <xf numFmtId="0" fontId="58" fillId="0" borderId="5" xfId="0" applyFont="1" applyBorder="1" applyAlignment="1">
      <alignment horizontal="right" vertical="center" wrapText="1"/>
    </xf>
    <xf numFmtId="0" fontId="59" fillId="0" borderId="13" xfId="0" applyFont="1" applyBorder="1" applyAlignment="1">
      <alignment horizontal="right" vertical="center" wrapText="1"/>
    </xf>
    <xf numFmtId="0" fontId="68" fillId="0" borderId="0" xfId="1" applyFont="1" applyBorder="1" applyAlignment="1">
      <alignment horizontal="center" vertical="center" wrapText="1"/>
    </xf>
  </cellXfs>
  <cellStyles count="2">
    <cellStyle name="Normal" xfId="0" builtinId="0"/>
    <cellStyle name="Normal_Sheet 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Narrow"/>
                <a:ea typeface="Arial Narrow"/>
                <a:cs typeface="Arial Narrow"/>
              </a:defRPr>
            </a:pPr>
            <a:r>
              <a:rPr lang="en-US"/>
              <a:t>Pre2-Pre1</a:t>
            </a:r>
          </a:p>
        </c:rich>
      </c:tx>
      <c:layout>
        <c:manualLayout>
          <c:xMode val="edge"/>
          <c:yMode val="edge"/>
          <c:x val="2.3715324046032708E-2"/>
          <c:y val="8.7336176001255664E-2"/>
        </c:manualLayout>
      </c:layout>
      <c:overlay val="0"/>
      <c:spPr>
        <a:noFill/>
        <a:ln w="25400">
          <a:noFill/>
        </a:ln>
      </c:spPr>
    </c:title>
    <c:autoTitleDeleted val="0"/>
    <c:plotArea>
      <c:layout>
        <c:manualLayout>
          <c:layoutTarget val="inner"/>
          <c:xMode val="edge"/>
          <c:yMode val="edge"/>
          <c:x val="0.15027982226601655"/>
          <c:y val="0.2221810669442299"/>
          <c:w val="0.80353700885094559"/>
          <c:h val="0.64693898904349301"/>
        </c:manualLayout>
      </c:layout>
      <c:scatterChart>
        <c:scatterStyle val="lineMarker"/>
        <c:varyColors val="0"/>
        <c:ser>
          <c:idx val="0"/>
          <c:order val="0"/>
          <c:tx>
            <c:strRef>
              <c:f>'Sheet 1'!$B$42</c:f>
              <c:strCache>
                <c:ptCount val="1"/>
                <c:pt idx="0">
                  <c:v>Control</c:v>
                </c:pt>
              </c:strCache>
            </c:strRef>
          </c:tx>
          <c:spPr>
            <a:ln w="28575">
              <a:noFill/>
            </a:ln>
          </c:spPr>
          <c:marker>
            <c:symbol val="circle"/>
            <c:size val="6"/>
            <c:spPr>
              <a:solidFill>
                <a:srgbClr val="3366FF"/>
              </a:solidFill>
              <a:ln>
                <a:solidFill>
                  <a:srgbClr val="000000"/>
                </a:solidFill>
                <a:prstDash val="solid"/>
              </a:ln>
            </c:spPr>
          </c:marker>
          <c:trendline>
            <c:spPr>
              <a:ln w="25400">
                <a:solidFill>
                  <a:srgbClr val="0000FF"/>
                </a:solidFill>
                <a:prstDash val="solid"/>
              </a:ln>
            </c:spPr>
            <c:trendlineType val="linear"/>
            <c:dispRSqr val="0"/>
            <c:dispEq val="0"/>
          </c:trendline>
          <c:xVal>
            <c:numRef>
              <c:f>'Sheet 1'!$D$42:$D$61</c:f>
              <c:numCache>
                <c:formatCode>General</c:formatCode>
                <c:ptCount val="20"/>
                <c:pt idx="0">
                  <c:v>6.7175377051765324</c:v>
                </c:pt>
                <c:pt idx="1">
                  <c:v>12.448248175011013</c:v>
                </c:pt>
                <c:pt idx="2">
                  <c:v>4.5211193081484939</c:v>
                </c:pt>
                <c:pt idx="3">
                  <c:v>8.2679289743212188</c:v>
                </c:pt>
                <c:pt idx="4">
                  <c:v>10.863284349957977</c:v>
                </c:pt>
                <c:pt idx="5">
                  <c:v>5.3635668190665875</c:v>
                </c:pt>
                <c:pt idx="6">
                  <c:v>8.8859934695136555</c:v>
                </c:pt>
                <c:pt idx="7">
                  <c:v>9.2311246047874587</c:v>
                </c:pt>
                <c:pt idx="8">
                  <c:v>5.8499177906865114</c:v>
                </c:pt>
                <c:pt idx="9">
                  <c:v>11.343867989039783</c:v>
                </c:pt>
                <c:pt idx="10">
                  <c:v>14.069884777911053</c:v>
                </c:pt>
                <c:pt idx="11">
                  <c:v>10.439691716577061</c:v>
                </c:pt>
                <c:pt idx="12">
                  <c:v>11.606240650890557</c:v>
                </c:pt>
                <c:pt idx="13">
                  <c:v>12.702293837857102</c:v>
                </c:pt>
                <c:pt idx="14">
                  <c:v>13.843325619119696</c:v>
                </c:pt>
                <c:pt idx="15">
                  <c:v>17.65703663588971</c:v>
                </c:pt>
                <c:pt idx="16">
                  <c:v>4.3319343583072438</c:v>
                </c:pt>
                <c:pt idx="17">
                  <c:v>5.4683864923101488</c:v>
                </c:pt>
                <c:pt idx="18">
                  <c:v>7.2272889016366006</c:v>
                </c:pt>
                <c:pt idx="19">
                  <c:v>7.084244013734355</c:v>
                </c:pt>
              </c:numCache>
            </c:numRef>
          </c:xVal>
          <c:yVal>
            <c:numRef>
              <c:f>'Sheet 1'!$K$42:$K$61</c:f>
              <c:numCache>
                <c:formatCode>0.0</c:formatCode>
                <c:ptCount val="20"/>
                <c:pt idx="0">
                  <c:v>-7.0017519685465572</c:v>
                </c:pt>
                <c:pt idx="1">
                  <c:v>5.9467540385608686</c:v>
                </c:pt>
                <c:pt idx="2">
                  <c:v>13.285818825510489</c:v>
                </c:pt>
                <c:pt idx="3">
                  <c:v>32.930970970661292</c:v>
                </c:pt>
                <c:pt idx="4">
                  <c:v>-18.904402699727939</c:v>
                </c:pt>
                <c:pt idx="5">
                  <c:v>6.7930490334783258</c:v>
                </c:pt>
                <c:pt idx="6">
                  <c:v>-5.4808902305736069</c:v>
                </c:pt>
                <c:pt idx="7">
                  <c:v>-7.2615402163966678</c:v>
                </c:pt>
                <c:pt idx="8">
                  <c:v>13.356120874830765</c:v>
                </c:pt>
                <c:pt idx="9">
                  <c:v>9.1998178154265133</c:v>
                </c:pt>
                <c:pt idx="10">
                  <c:v>-10.124664598752247</c:v>
                </c:pt>
                <c:pt idx="11">
                  <c:v>18.750339325609502</c:v>
                </c:pt>
                <c:pt idx="12">
                  <c:v>-6.5137257081828466</c:v>
                </c:pt>
                <c:pt idx="13">
                  <c:v>-7.1076453540192688</c:v>
                </c:pt>
                <c:pt idx="14">
                  <c:v>-1.391835060485846</c:v>
                </c:pt>
                <c:pt idx="15">
                  <c:v>-4.2324932779271194</c:v>
                </c:pt>
                <c:pt idx="16">
                  <c:v>3.6567192764338756</c:v>
                </c:pt>
                <c:pt idx="17">
                  <c:v>-10.081874133362817</c:v>
                </c:pt>
                <c:pt idx="18">
                  <c:v>10.587499628846274</c:v>
                </c:pt>
                <c:pt idx="19">
                  <c:v>8.2041293100563166</c:v>
                </c:pt>
              </c:numCache>
            </c:numRef>
          </c:yVal>
          <c:smooth val="0"/>
        </c:ser>
        <c:ser>
          <c:idx val="1"/>
          <c:order val="1"/>
          <c:tx>
            <c:strRef>
              <c:f>'Sheet 1'!$B$73</c:f>
              <c:strCache>
                <c:ptCount val="1"/>
                <c:pt idx="0">
                  <c:v>Exptal</c:v>
                </c:pt>
              </c:strCache>
            </c:strRef>
          </c:tx>
          <c:spPr>
            <a:ln w="28575">
              <a:noFill/>
            </a:ln>
          </c:spPr>
          <c:marker>
            <c:symbol val="triangle"/>
            <c:size val="6"/>
            <c:spPr>
              <a:solidFill>
                <a:srgbClr val="FF0000"/>
              </a:solidFill>
              <a:ln>
                <a:solidFill>
                  <a:srgbClr val="000000"/>
                </a:solidFill>
                <a:prstDash val="solid"/>
              </a:ln>
            </c:spPr>
          </c:marker>
          <c:trendline>
            <c:spPr>
              <a:ln w="25400">
                <a:solidFill>
                  <a:srgbClr val="FF0000"/>
                </a:solidFill>
                <a:prstDash val="solid"/>
              </a:ln>
            </c:spPr>
            <c:trendlineType val="linear"/>
            <c:dispRSqr val="0"/>
            <c:dispEq val="0"/>
          </c:trendline>
          <c:xVal>
            <c:numRef>
              <c:f>'Sheet 1'!$D$73:$D$92</c:f>
              <c:numCache>
                <c:formatCode>General</c:formatCode>
                <c:ptCount val="20"/>
                <c:pt idx="0">
                  <c:v>13.776209008775542</c:v>
                </c:pt>
                <c:pt idx="1">
                  <c:v>11.007148422869262</c:v>
                </c:pt>
                <c:pt idx="2">
                  <c:v>11.384459813783169</c:v>
                </c:pt>
                <c:pt idx="3">
                  <c:v>10.772839822582032</c:v>
                </c:pt>
                <c:pt idx="4">
                  <c:v>6.1670195648881609</c:v>
                </c:pt>
                <c:pt idx="5">
                  <c:v>3.0700081084607245</c:v>
                </c:pt>
                <c:pt idx="6">
                  <c:v>6.0266561785287349</c:v>
                </c:pt>
                <c:pt idx="7">
                  <c:v>8.5795952343946524</c:v>
                </c:pt>
                <c:pt idx="8">
                  <c:v>10.271094847436206</c:v>
                </c:pt>
                <c:pt idx="9">
                  <c:v>3.2439257981571377</c:v>
                </c:pt>
                <c:pt idx="10">
                  <c:v>9.0452455283301205</c:v>
                </c:pt>
                <c:pt idx="11">
                  <c:v>10.485463397837401</c:v>
                </c:pt>
                <c:pt idx="12">
                  <c:v>6.2053919306283118</c:v>
                </c:pt>
                <c:pt idx="13">
                  <c:v>10.043285995156898</c:v>
                </c:pt>
                <c:pt idx="14">
                  <c:v>8.0160458643810895</c:v>
                </c:pt>
                <c:pt idx="15">
                  <c:v>5.9277811672944249</c:v>
                </c:pt>
                <c:pt idx="16">
                  <c:v>9.3916550088212816</c:v>
                </c:pt>
                <c:pt idx="17">
                  <c:v>11.545166159440665</c:v>
                </c:pt>
                <c:pt idx="18">
                  <c:v>13.182162714473208</c:v>
                </c:pt>
                <c:pt idx="19">
                  <c:v>10.074882480221746</c:v>
                </c:pt>
              </c:numCache>
            </c:numRef>
          </c:xVal>
          <c:yVal>
            <c:numRef>
              <c:f>'Sheet 1'!$K$73:$K$92</c:f>
              <c:numCache>
                <c:formatCode>0.0</c:formatCode>
                <c:ptCount val="20"/>
                <c:pt idx="0">
                  <c:v>2.2278669646610183</c:v>
                </c:pt>
                <c:pt idx="1">
                  <c:v>2.3302851102741897</c:v>
                </c:pt>
                <c:pt idx="2">
                  <c:v>-1.3572920757234215</c:v>
                </c:pt>
                <c:pt idx="3">
                  <c:v>3.3742598265965853</c:v>
                </c:pt>
                <c:pt idx="4">
                  <c:v>14.486526412227875</c:v>
                </c:pt>
                <c:pt idx="5">
                  <c:v>6.2518273402240538</c:v>
                </c:pt>
                <c:pt idx="6">
                  <c:v>41.30574051001895</c:v>
                </c:pt>
                <c:pt idx="7">
                  <c:v>7.893349433621438</c:v>
                </c:pt>
                <c:pt idx="8">
                  <c:v>18.012890804147162</c:v>
                </c:pt>
                <c:pt idx="9">
                  <c:v>19.217002976154447</c:v>
                </c:pt>
                <c:pt idx="10">
                  <c:v>6.6507543753118057</c:v>
                </c:pt>
                <c:pt idx="11">
                  <c:v>20.585859436137412</c:v>
                </c:pt>
                <c:pt idx="12">
                  <c:v>-14.852001393104558</c:v>
                </c:pt>
                <c:pt idx="13">
                  <c:v>27.089821801095013</c:v>
                </c:pt>
                <c:pt idx="14">
                  <c:v>5.5529797909900367</c:v>
                </c:pt>
                <c:pt idx="15">
                  <c:v>-11.070903703755107</c:v>
                </c:pt>
                <c:pt idx="16">
                  <c:v>7.6386012541515242</c:v>
                </c:pt>
                <c:pt idx="17">
                  <c:v>-7.5922693004250732</c:v>
                </c:pt>
                <c:pt idx="18">
                  <c:v>26.108529993008744</c:v>
                </c:pt>
                <c:pt idx="19">
                  <c:v>-5.5205214382267513</c:v>
                </c:pt>
              </c:numCache>
            </c:numRef>
          </c:yVal>
          <c:smooth val="0"/>
        </c:ser>
        <c:ser>
          <c:idx val="2"/>
          <c:order val="2"/>
          <c:tx>
            <c:v>Value of X</c:v>
          </c:tx>
          <c:spPr>
            <a:ln w="12700">
              <a:solidFill>
                <a:srgbClr val="000000"/>
              </a:solidFill>
              <a:prstDash val="sysDash"/>
            </a:ln>
          </c:spPr>
          <c:marker>
            <c:symbol val="none"/>
          </c:marker>
          <c:xVal>
            <c:numRef>
              <c:f>'Sheet 1'!$J$108:$J$109</c:f>
              <c:numCache>
                <c:formatCode>0.00</c:formatCode>
                <c:ptCount val="2"/>
                <c:pt idx="0">
                  <c:v>0</c:v>
                </c:pt>
                <c:pt idx="1">
                  <c:v>0</c:v>
                </c:pt>
              </c:numCache>
            </c:numRef>
          </c:xVal>
          <c:yVal>
            <c:numRef>
              <c:f>'Sheet 1'!$K$106:$K$107</c:f>
              <c:numCache>
                <c:formatCode>0.00</c:formatCode>
                <c:ptCount val="2"/>
                <c:pt idx="0">
                  <c:v>41.30574051001895</c:v>
                </c:pt>
                <c:pt idx="1">
                  <c:v>-18.904402699727939</c:v>
                </c:pt>
              </c:numCache>
            </c:numRef>
          </c:yVal>
          <c:smooth val="0"/>
        </c:ser>
        <c:dLbls>
          <c:showLegendKey val="0"/>
          <c:showVal val="0"/>
          <c:showCatName val="0"/>
          <c:showSerName val="0"/>
          <c:showPercent val="0"/>
          <c:showBubbleSize val="0"/>
        </c:dLbls>
        <c:axId val="253400960"/>
        <c:axId val="253451648"/>
      </c:scatterChart>
      <c:valAx>
        <c:axId val="253400960"/>
        <c:scaling>
          <c:orientation val="minMax"/>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X</a:t>
                </a:r>
              </a:p>
            </c:rich>
          </c:tx>
          <c:layout>
            <c:manualLayout>
              <c:xMode val="edge"/>
              <c:yMode val="edge"/>
              <c:x val="0.52964506359781949"/>
              <c:y val="0.8689974799661671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253451648"/>
        <c:crosses val="autoZero"/>
        <c:crossBetween val="midCat"/>
      </c:valAx>
      <c:valAx>
        <c:axId val="25345164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253400960"/>
        <c:crosses val="autoZero"/>
        <c:crossBetween val="midCat"/>
      </c:valAx>
      <c:spPr>
        <a:solidFill>
          <a:srgbClr val="FFFFFF"/>
        </a:solidFill>
        <a:ln w="12700">
          <a:solidFill>
            <a:srgbClr val="808080"/>
          </a:solidFill>
          <a:prstDash val="solid"/>
        </a:ln>
      </c:spPr>
    </c:plotArea>
    <c:legend>
      <c:legendPos val="r"/>
      <c:layout>
        <c:manualLayout>
          <c:xMode val="edge"/>
          <c:yMode val="edge"/>
          <c:x val="0.47757641833232384"/>
          <c:y val="2.2984626921634797E-2"/>
          <c:w val="0.49914435695538056"/>
          <c:h val="0.19044218309920563"/>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sz="900" b="0" i="0" u="none" strike="noStrike" baseline="0">
                <a:solidFill>
                  <a:srgbClr val="000000"/>
                </a:solidFill>
                <a:latin typeface="Arial Narrow"/>
                <a:ea typeface="Arial Narrow"/>
                <a:cs typeface="Arial Narrow"/>
              </a:defRPr>
            </a:pPr>
            <a:r>
              <a:rPr lang="en-US"/>
              <a:t>Means and SDs</a:t>
            </a:r>
          </a:p>
        </c:rich>
      </c:tx>
      <c:layout>
        <c:manualLayout>
          <c:xMode val="edge"/>
          <c:yMode val="edge"/>
          <c:x val="4.3307086614173228E-2"/>
          <c:y val="8.1301419891320933E-2"/>
        </c:manualLayout>
      </c:layout>
      <c:overlay val="0"/>
      <c:spPr>
        <a:noFill/>
        <a:ln w="25400">
          <a:noFill/>
        </a:ln>
      </c:spPr>
    </c:title>
    <c:autoTitleDeleted val="0"/>
    <c:plotArea>
      <c:layout>
        <c:manualLayout>
          <c:layoutTarget val="inner"/>
          <c:xMode val="edge"/>
          <c:yMode val="edge"/>
          <c:x val="0.15027982226601655"/>
          <c:y val="0.30449667848838019"/>
          <c:w val="0.82807249003723415"/>
          <c:h val="0.43847521702326736"/>
        </c:manualLayout>
      </c:layout>
      <c:scatterChart>
        <c:scatterStyle val="lineMarker"/>
        <c:varyColors val="0"/>
        <c:ser>
          <c:idx val="0"/>
          <c:order val="0"/>
          <c:tx>
            <c:strRef>
              <c:f>'Sheet 1'!$T$18</c:f>
              <c:strCache>
                <c:ptCount val="1"/>
                <c:pt idx="0">
                  <c:v>Control</c:v>
                </c:pt>
              </c:strCache>
            </c:strRef>
          </c:tx>
          <c:spPr>
            <a:ln w="12700">
              <a:solidFill>
                <a:srgbClr val="000080"/>
              </a:solidFill>
              <a:prstDash val="solid"/>
            </a:ln>
          </c:spPr>
          <c:marker>
            <c:symbol val="circle"/>
            <c:size val="6"/>
            <c:spPr>
              <a:solidFill>
                <a:srgbClr val="3366FF"/>
              </a:solidFill>
              <a:ln>
                <a:solidFill>
                  <a:srgbClr val="000000"/>
                </a:solidFill>
                <a:prstDash val="solid"/>
              </a:ln>
            </c:spPr>
          </c:marker>
          <c:errBars>
            <c:errDir val="y"/>
            <c:errBarType val="both"/>
            <c:errValType val="cust"/>
            <c:noEndCap val="0"/>
            <c:plus>
              <c:numRef>
                <c:f>'Sheet 1'!$U$21:$X$21</c:f>
                <c:numCache>
                  <c:formatCode>General</c:formatCode>
                  <c:ptCount val="4"/>
                  <c:pt idx="0">
                    <c:v>22.562711674410139</c:v>
                  </c:pt>
                  <c:pt idx="1">
                    <c:v>21.733272748687739</c:v>
                  </c:pt>
                  <c:pt idx="2">
                    <c:v>23.716697529111343</c:v>
                  </c:pt>
                  <c:pt idx="3">
                    <c:v>24.735069505734259</c:v>
                  </c:pt>
                </c:numCache>
              </c:numRef>
            </c:plus>
            <c:minus>
              <c:numRef>
                <c:f>'Sheet 1'!$U$22:$X$22</c:f>
                <c:numCache>
                  <c:formatCode>General</c:formatCode>
                  <c:ptCount val="4"/>
                  <c:pt idx="0">
                    <c:v>21.36696500136037</c:v>
                  </c:pt>
                  <c:pt idx="1">
                    <c:v>20.627576164144386</c:v>
                  </c:pt>
                  <c:pt idx="2">
                    <c:v>22.423233036943884</c:v>
                  </c:pt>
                  <c:pt idx="3">
                    <c:v>23.320660888397299</c:v>
                  </c:pt>
                </c:numCache>
              </c:numRef>
            </c:minus>
            <c:spPr>
              <a:ln w="12700">
                <a:solidFill>
                  <a:srgbClr val="000000"/>
                </a:solidFill>
                <a:prstDash val="solid"/>
              </a:ln>
            </c:spPr>
          </c:errBars>
          <c:xVal>
            <c:numRef>
              <c:f>'Sheet 1'!$U$19:$X$19</c:f>
              <c:numCache>
                <c:formatCode>General</c:formatCode>
                <c:ptCount val="4"/>
                <c:pt idx="0">
                  <c:v>0.95</c:v>
                </c:pt>
                <c:pt idx="1">
                  <c:v>1.95</c:v>
                </c:pt>
                <c:pt idx="2">
                  <c:v>2.95</c:v>
                </c:pt>
                <c:pt idx="3">
                  <c:v>3.95</c:v>
                </c:pt>
              </c:numCache>
            </c:numRef>
          </c:xVal>
          <c:yVal>
            <c:numRef>
              <c:f>'Sheet 1'!$U$20:$X$20</c:f>
              <c:numCache>
                <c:formatCode>0.0</c:formatCode>
                <c:ptCount val="4"/>
                <c:pt idx="0">
                  <c:v>403.1762592768327</c:v>
                </c:pt>
                <c:pt idx="1">
                  <c:v>405.45005310369618</c:v>
                </c:pt>
                <c:pt idx="2">
                  <c:v>411.14776538692001</c:v>
                </c:pt>
                <c:pt idx="3">
                  <c:v>407.82993042012748</c:v>
                </c:pt>
              </c:numCache>
            </c:numRef>
          </c:yVal>
          <c:smooth val="0"/>
        </c:ser>
        <c:ser>
          <c:idx val="1"/>
          <c:order val="1"/>
          <c:tx>
            <c:strRef>
              <c:f>'Sheet 1'!$T$23</c:f>
              <c:strCache>
                <c:ptCount val="1"/>
                <c:pt idx="0">
                  <c:v>Exptal</c:v>
                </c:pt>
              </c:strCache>
            </c:strRef>
          </c:tx>
          <c:spPr>
            <a:ln w="12700">
              <a:solidFill>
                <a:srgbClr val="FF00FF"/>
              </a:solidFill>
              <a:prstDash val="solid"/>
            </a:ln>
          </c:spPr>
          <c:marker>
            <c:symbol val="triangle"/>
            <c:size val="6"/>
            <c:spPr>
              <a:solidFill>
                <a:srgbClr val="FF0000"/>
              </a:solidFill>
              <a:ln>
                <a:solidFill>
                  <a:srgbClr val="000000"/>
                </a:solidFill>
                <a:prstDash val="solid"/>
              </a:ln>
            </c:spPr>
          </c:marker>
          <c:errBars>
            <c:errDir val="y"/>
            <c:errBarType val="both"/>
            <c:errValType val="cust"/>
            <c:noEndCap val="0"/>
            <c:plus>
              <c:numRef>
                <c:f>'Sheet 1'!$U$26:$X$26</c:f>
                <c:numCache>
                  <c:formatCode>General</c:formatCode>
                  <c:ptCount val="4"/>
                  <c:pt idx="0">
                    <c:v>21.710549921182007</c:v>
                  </c:pt>
                  <c:pt idx="1">
                    <c:v>23.66385909909269</c:v>
                  </c:pt>
                  <c:pt idx="2">
                    <c:v>28.13863312789374</c:v>
                  </c:pt>
                  <c:pt idx="3">
                    <c:v>23.698461234062108</c:v>
                  </c:pt>
                </c:numCache>
              </c:numRef>
            </c:plus>
            <c:minus>
              <c:numRef>
                <c:f>'Sheet 1'!$U$27:$X$27</c:f>
                <c:numCache>
                  <c:formatCode>General</c:formatCode>
                  <c:ptCount val="4"/>
                  <c:pt idx="0">
                    <c:v>20.562690183796235</c:v>
                  </c:pt>
                  <c:pt idx="1">
                    <c:v>22.333487240575778</c:v>
                  </c:pt>
                  <c:pt idx="2">
                    <c:v>26.330066922249614</c:v>
                  </c:pt>
                  <c:pt idx="3">
                    <c:v>22.384703380042026</c:v>
                  </c:pt>
                </c:numCache>
              </c:numRef>
            </c:minus>
            <c:spPr>
              <a:ln w="12700">
                <a:solidFill>
                  <a:srgbClr val="000000"/>
                </a:solidFill>
                <a:prstDash val="solid"/>
              </a:ln>
            </c:spPr>
          </c:errBars>
          <c:xVal>
            <c:numRef>
              <c:f>'Sheet 1'!$U$24:$X$24</c:f>
              <c:numCache>
                <c:formatCode>General</c:formatCode>
                <c:ptCount val="4"/>
                <c:pt idx="0">
                  <c:v>1.05</c:v>
                </c:pt>
                <c:pt idx="1">
                  <c:v>2.0499999999999998</c:v>
                </c:pt>
                <c:pt idx="2">
                  <c:v>3.05</c:v>
                </c:pt>
                <c:pt idx="3">
                  <c:v>4.05</c:v>
                </c:pt>
              </c:numCache>
            </c:numRef>
          </c:xVal>
          <c:yVal>
            <c:numRef>
              <c:f>'Sheet 1'!$U$25:$X$25</c:f>
              <c:numCache>
                <c:formatCode>0.0</c:formatCode>
                <c:ptCount val="4"/>
                <c:pt idx="0">
                  <c:v>388.92148335634965</c:v>
                </c:pt>
                <c:pt idx="1">
                  <c:v>397.25471631784046</c:v>
                </c:pt>
                <c:pt idx="2">
                  <c:v>409.65715882886582</c:v>
                </c:pt>
                <c:pt idx="3">
                  <c:v>403.79056434535511</c:v>
                </c:pt>
              </c:numCache>
            </c:numRef>
          </c:yVal>
          <c:smooth val="0"/>
        </c:ser>
        <c:dLbls>
          <c:showLegendKey val="0"/>
          <c:showVal val="0"/>
          <c:showCatName val="0"/>
          <c:showSerName val="0"/>
          <c:showPercent val="0"/>
          <c:showBubbleSize val="0"/>
        </c:dLbls>
        <c:axId val="72746112"/>
        <c:axId val="72748032"/>
      </c:scatterChart>
      <c:valAx>
        <c:axId val="72746112"/>
        <c:scaling>
          <c:orientation val="minMax"/>
          <c:min val="0.5"/>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Trial</a:t>
                </a:r>
              </a:p>
            </c:rich>
          </c:tx>
          <c:layout>
            <c:manualLayout>
              <c:xMode val="edge"/>
              <c:yMode val="edge"/>
              <c:x val="0.50787401574803148"/>
              <c:y val="0.87805228474881014"/>
            </c:manualLayout>
          </c:layout>
          <c:overlay val="0"/>
          <c:spPr>
            <a:noFill/>
            <a:ln w="25400">
              <a:noFill/>
            </a:ln>
          </c:spPr>
        </c:title>
        <c:numFmt formatCode="General" sourceLinked="1"/>
        <c:majorTickMark val="out"/>
        <c:minorTickMark val="none"/>
        <c:tickLblPos val="none"/>
        <c:spPr>
          <a:ln w="3175">
            <a:solidFill>
              <a:srgbClr val="000000"/>
            </a:solidFill>
            <a:prstDash val="solid"/>
          </a:ln>
        </c:spPr>
        <c:crossAx val="72748032"/>
        <c:crosses val="autoZero"/>
        <c:crossBetween val="midCat"/>
      </c:valAx>
      <c:valAx>
        <c:axId val="72748032"/>
        <c:scaling>
          <c:logBase val="10"/>
          <c:orientation val="minMax"/>
          <c:min val="10"/>
        </c:scaling>
        <c:delete val="0"/>
        <c:axPos val="l"/>
        <c:numFmt formatCode="0" sourceLinked="0"/>
        <c:majorTickMark val="out"/>
        <c:minorTickMark val="out"/>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72746112"/>
        <c:crosses val="autoZero"/>
        <c:crossBetween val="midCat"/>
      </c:valAx>
      <c:spPr>
        <a:solidFill>
          <a:srgbClr val="FFFFFF"/>
        </a:solidFill>
        <a:ln w="12700">
          <a:solidFill>
            <a:srgbClr val="808080"/>
          </a:solidFill>
          <a:prstDash val="solid"/>
        </a:ln>
      </c:spPr>
    </c:plotArea>
    <c:legend>
      <c:legendPos val="r"/>
      <c:layout>
        <c:manualLayout>
          <c:xMode val="edge"/>
          <c:yMode val="edge"/>
          <c:x val="0.43558282208588961"/>
          <c:y val="2.7522935779816519E-2"/>
          <c:w val="0.5429447852760737"/>
          <c:h val="0.19266055045871561"/>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Narrow"/>
                <a:ea typeface="Arial Narrow"/>
                <a:cs typeface="Arial Narrow"/>
              </a:defRPr>
            </a:pPr>
            <a:r>
              <a:rPr lang="en-US"/>
              <a:t>Post1-Pre2</a:t>
            </a:r>
          </a:p>
        </c:rich>
      </c:tx>
      <c:layout>
        <c:manualLayout>
          <c:xMode val="edge"/>
          <c:yMode val="edge"/>
          <c:x val="1.9762971936200281E-2"/>
          <c:y val="8.6956484808331E-2"/>
        </c:manualLayout>
      </c:layout>
      <c:overlay val="0"/>
      <c:spPr>
        <a:noFill/>
        <a:ln w="25400">
          <a:noFill/>
        </a:ln>
      </c:spPr>
    </c:title>
    <c:autoTitleDeleted val="0"/>
    <c:plotArea>
      <c:layout>
        <c:manualLayout>
          <c:layoutTarget val="inner"/>
          <c:xMode val="edge"/>
          <c:yMode val="edge"/>
          <c:x val="0.15027982226601655"/>
          <c:y val="0.29272108449855772"/>
          <c:w val="0.80353700885094559"/>
          <c:h val="0.58226041807865281"/>
        </c:manualLayout>
      </c:layout>
      <c:scatterChart>
        <c:scatterStyle val="lineMarker"/>
        <c:varyColors val="0"/>
        <c:ser>
          <c:idx val="0"/>
          <c:order val="0"/>
          <c:tx>
            <c:strRef>
              <c:f>'Sheet 1'!$B$42</c:f>
              <c:strCache>
                <c:ptCount val="1"/>
                <c:pt idx="0">
                  <c:v>Control</c:v>
                </c:pt>
              </c:strCache>
            </c:strRef>
          </c:tx>
          <c:spPr>
            <a:ln w="28575">
              <a:noFill/>
            </a:ln>
          </c:spPr>
          <c:marker>
            <c:symbol val="circle"/>
            <c:size val="6"/>
            <c:spPr>
              <a:solidFill>
                <a:srgbClr val="3366FF"/>
              </a:solidFill>
              <a:ln>
                <a:solidFill>
                  <a:srgbClr val="000000"/>
                </a:solidFill>
                <a:prstDash val="solid"/>
              </a:ln>
            </c:spPr>
          </c:marker>
          <c:trendline>
            <c:spPr>
              <a:ln w="25400">
                <a:solidFill>
                  <a:srgbClr val="0000FF"/>
                </a:solidFill>
                <a:prstDash val="solid"/>
              </a:ln>
            </c:spPr>
            <c:trendlineType val="linear"/>
            <c:dispRSqr val="0"/>
            <c:dispEq val="0"/>
          </c:trendline>
          <c:xVal>
            <c:numRef>
              <c:f>'Sheet 1'!$D$42:$D$61</c:f>
              <c:numCache>
                <c:formatCode>General</c:formatCode>
                <c:ptCount val="20"/>
                <c:pt idx="0">
                  <c:v>6.7175377051765324</c:v>
                </c:pt>
                <c:pt idx="1">
                  <c:v>12.448248175011013</c:v>
                </c:pt>
                <c:pt idx="2">
                  <c:v>4.5211193081484939</c:v>
                </c:pt>
                <c:pt idx="3">
                  <c:v>8.2679289743212188</c:v>
                </c:pt>
                <c:pt idx="4">
                  <c:v>10.863284349957977</c:v>
                </c:pt>
                <c:pt idx="5">
                  <c:v>5.3635668190665875</c:v>
                </c:pt>
                <c:pt idx="6">
                  <c:v>8.8859934695136555</c:v>
                </c:pt>
                <c:pt idx="7">
                  <c:v>9.2311246047874587</c:v>
                </c:pt>
                <c:pt idx="8">
                  <c:v>5.8499177906865114</c:v>
                </c:pt>
                <c:pt idx="9">
                  <c:v>11.343867989039783</c:v>
                </c:pt>
                <c:pt idx="10">
                  <c:v>14.069884777911053</c:v>
                </c:pt>
                <c:pt idx="11">
                  <c:v>10.439691716577061</c:v>
                </c:pt>
                <c:pt idx="12">
                  <c:v>11.606240650890557</c:v>
                </c:pt>
                <c:pt idx="13">
                  <c:v>12.702293837857102</c:v>
                </c:pt>
                <c:pt idx="14">
                  <c:v>13.843325619119696</c:v>
                </c:pt>
                <c:pt idx="15">
                  <c:v>17.65703663588971</c:v>
                </c:pt>
                <c:pt idx="16">
                  <c:v>4.3319343583072438</c:v>
                </c:pt>
                <c:pt idx="17">
                  <c:v>5.4683864923101488</c:v>
                </c:pt>
                <c:pt idx="18">
                  <c:v>7.2272889016366006</c:v>
                </c:pt>
                <c:pt idx="19">
                  <c:v>7.084244013734355</c:v>
                </c:pt>
              </c:numCache>
            </c:numRef>
          </c:xVal>
          <c:yVal>
            <c:numRef>
              <c:f>'Sheet 1'!$L$42:$L$61</c:f>
              <c:numCache>
                <c:formatCode>0.0</c:formatCode>
                <c:ptCount val="20"/>
                <c:pt idx="0">
                  <c:v>13.937730037012841</c:v>
                </c:pt>
                <c:pt idx="1">
                  <c:v>-3.2592927009418986</c:v>
                </c:pt>
                <c:pt idx="2">
                  <c:v>10.562797617548256</c:v>
                </c:pt>
                <c:pt idx="3">
                  <c:v>12.213914073474257</c:v>
                </c:pt>
                <c:pt idx="4">
                  <c:v>2.3188801059667412</c:v>
                </c:pt>
                <c:pt idx="5">
                  <c:v>19.85230333977762</c:v>
                </c:pt>
                <c:pt idx="6">
                  <c:v>4.0682203319353221</c:v>
                </c:pt>
                <c:pt idx="7">
                  <c:v>14.273126189746904</c:v>
                </c:pt>
                <c:pt idx="8">
                  <c:v>5.6628477903290104</c:v>
                </c:pt>
                <c:pt idx="9">
                  <c:v>-9.1137810532458161</c:v>
                </c:pt>
                <c:pt idx="10">
                  <c:v>33.399449913225681</c:v>
                </c:pt>
                <c:pt idx="11">
                  <c:v>14.816345966837559</c:v>
                </c:pt>
                <c:pt idx="12">
                  <c:v>-7.3906473473061283</c:v>
                </c:pt>
                <c:pt idx="13">
                  <c:v>17.632591235117104</c:v>
                </c:pt>
                <c:pt idx="14">
                  <c:v>5.2651786183522518</c:v>
                </c:pt>
                <c:pt idx="15">
                  <c:v>-6.9206793781663691</c:v>
                </c:pt>
                <c:pt idx="16">
                  <c:v>-2.5317788282317792</c:v>
                </c:pt>
                <c:pt idx="17">
                  <c:v>5.4957122384727199</c:v>
                </c:pt>
                <c:pt idx="18">
                  <c:v>-10.91459487731936</c:v>
                </c:pt>
                <c:pt idx="19">
                  <c:v>-3.751335014971005</c:v>
                </c:pt>
              </c:numCache>
            </c:numRef>
          </c:yVal>
          <c:smooth val="0"/>
        </c:ser>
        <c:ser>
          <c:idx val="1"/>
          <c:order val="1"/>
          <c:tx>
            <c:strRef>
              <c:f>'Sheet 1'!$B$73</c:f>
              <c:strCache>
                <c:ptCount val="1"/>
                <c:pt idx="0">
                  <c:v>Exptal</c:v>
                </c:pt>
              </c:strCache>
            </c:strRef>
          </c:tx>
          <c:spPr>
            <a:ln w="28575">
              <a:noFill/>
            </a:ln>
          </c:spPr>
          <c:marker>
            <c:symbol val="triangle"/>
            <c:size val="6"/>
            <c:spPr>
              <a:solidFill>
                <a:srgbClr val="FF0000"/>
              </a:solidFill>
              <a:ln>
                <a:solidFill>
                  <a:srgbClr val="000000"/>
                </a:solidFill>
                <a:prstDash val="solid"/>
              </a:ln>
            </c:spPr>
          </c:marker>
          <c:trendline>
            <c:spPr>
              <a:ln w="25400">
                <a:solidFill>
                  <a:srgbClr val="FF0000"/>
                </a:solidFill>
                <a:prstDash val="solid"/>
              </a:ln>
            </c:spPr>
            <c:trendlineType val="linear"/>
            <c:dispRSqr val="0"/>
            <c:dispEq val="0"/>
          </c:trendline>
          <c:xVal>
            <c:numRef>
              <c:f>'Sheet 1'!$D$73:$D$92</c:f>
              <c:numCache>
                <c:formatCode>General</c:formatCode>
                <c:ptCount val="20"/>
                <c:pt idx="0">
                  <c:v>13.776209008775542</c:v>
                </c:pt>
                <c:pt idx="1">
                  <c:v>11.007148422869262</c:v>
                </c:pt>
                <c:pt idx="2">
                  <c:v>11.384459813783169</c:v>
                </c:pt>
                <c:pt idx="3">
                  <c:v>10.772839822582032</c:v>
                </c:pt>
                <c:pt idx="4">
                  <c:v>6.1670195648881609</c:v>
                </c:pt>
                <c:pt idx="5">
                  <c:v>3.0700081084607245</c:v>
                </c:pt>
                <c:pt idx="6">
                  <c:v>6.0266561785287349</c:v>
                </c:pt>
                <c:pt idx="7">
                  <c:v>8.5795952343946524</c:v>
                </c:pt>
                <c:pt idx="8">
                  <c:v>10.271094847436206</c:v>
                </c:pt>
                <c:pt idx="9">
                  <c:v>3.2439257981571377</c:v>
                </c:pt>
                <c:pt idx="10">
                  <c:v>9.0452455283301205</c:v>
                </c:pt>
                <c:pt idx="11">
                  <c:v>10.485463397837401</c:v>
                </c:pt>
                <c:pt idx="12">
                  <c:v>6.2053919306283118</c:v>
                </c:pt>
                <c:pt idx="13">
                  <c:v>10.043285995156898</c:v>
                </c:pt>
                <c:pt idx="14">
                  <c:v>8.0160458643810895</c:v>
                </c:pt>
                <c:pt idx="15">
                  <c:v>5.9277811672944249</c:v>
                </c:pt>
                <c:pt idx="16">
                  <c:v>9.3916550088212816</c:v>
                </c:pt>
                <c:pt idx="17">
                  <c:v>11.545166159440665</c:v>
                </c:pt>
                <c:pt idx="18">
                  <c:v>13.182162714473208</c:v>
                </c:pt>
                <c:pt idx="19">
                  <c:v>10.074882480221746</c:v>
                </c:pt>
              </c:numCache>
            </c:numRef>
          </c:xVal>
          <c:yVal>
            <c:numRef>
              <c:f>'Sheet 1'!$L$73:$L$92</c:f>
              <c:numCache>
                <c:formatCode>0.0</c:formatCode>
                <c:ptCount val="20"/>
                <c:pt idx="0">
                  <c:v>-14.868588655592418</c:v>
                </c:pt>
                <c:pt idx="1">
                  <c:v>6.4979736575911033</c:v>
                </c:pt>
                <c:pt idx="2">
                  <c:v>18.154588129396188</c:v>
                </c:pt>
                <c:pt idx="3">
                  <c:v>10.913904343680542</c:v>
                </c:pt>
                <c:pt idx="4">
                  <c:v>32.292338799224183</c:v>
                </c:pt>
                <c:pt idx="5">
                  <c:v>-6.9358195311631903</c:v>
                </c:pt>
                <c:pt idx="6">
                  <c:v>17.759853715078407</c:v>
                </c:pt>
                <c:pt idx="7">
                  <c:v>15.955009160740246</c:v>
                </c:pt>
                <c:pt idx="8">
                  <c:v>-12.741549487069506</c:v>
                </c:pt>
                <c:pt idx="9">
                  <c:v>41.36350730757141</c:v>
                </c:pt>
                <c:pt idx="10">
                  <c:v>10.852132276602958</c:v>
                </c:pt>
                <c:pt idx="11">
                  <c:v>-6.7159833152178976</c:v>
                </c:pt>
                <c:pt idx="12">
                  <c:v>30.860729627666672</c:v>
                </c:pt>
                <c:pt idx="13">
                  <c:v>33.409239134873417</c:v>
                </c:pt>
                <c:pt idx="14">
                  <c:v>16.13121045384537</c:v>
                </c:pt>
                <c:pt idx="15">
                  <c:v>11.234058716840593</c:v>
                </c:pt>
                <c:pt idx="16">
                  <c:v>18.054071505586307</c:v>
                </c:pt>
                <c:pt idx="17">
                  <c:v>3.3289566400191006</c:v>
                </c:pt>
                <c:pt idx="18">
                  <c:v>11.149949205969961</c:v>
                </c:pt>
                <c:pt idx="19">
                  <c:v>15.937572365014034</c:v>
                </c:pt>
              </c:numCache>
            </c:numRef>
          </c:yVal>
          <c:smooth val="0"/>
        </c:ser>
        <c:ser>
          <c:idx val="2"/>
          <c:order val="2"/>
          <c:tx>
            <c:v>Value of X</c:v>
          </c:tx>
          <c:spPr>
            <a:ln w="12700">
              <a:solidFill>
                <a:srgbClr val="000000"/>
              </a:solidFill>
              <a:prstDash val="sysDash"/>
            </a:ln>
          </c:spPr>
          <c:marker>
            <c:symbol val="none"/>
          </c:marker>
          <c:xVal>
            <c:numRef>
              <c:f>'Sheet 1'!$J$108:$J$109</c:f>
              <c:numCache>
                <c:formatCode>0.00</c:formatCode>
                <c:ptCount val="2"/>
                <c:pt idx="0">
                  <c:v>0</c:v>
                </c:pt>
                <c:pt idx="1">
                  <c:v>0</c:v>
                </c:pt>
              </c:numCache>
            </c:numRef>
          </c:xVal>
          <c:yVal>
            <c:numRef>
              <c:f>'Sheet 1'!$L$106:$L$107</c:f>
              <c:numCache>
                <c:formatCode>0.00</c:formatCode>
                <c:ptCount val="2"/>
                <c:pt idx="0">
                  <c:v>41.36350730757141</c:v>
                </c:pt>
                <c:pt idx="1">
                  <c:v>-14.868588655592418</c:v>
                </c:pt>
              </c:numCache>
            </c:numRef>
          </c:yVal>
          <c:smooth val="0"/>
        </c:ser>
        <c:dLbls>
          <c:showLegendKey val="0"/>
          <c:showVal val="0"/>
          <c:showCatName val="0"/>
          <c:showSerName val="0"/>
          <c:showPercent val="0"/>
          <c:showBubbleSize val="0"/>
        </c:dLbls>
        <c:axId val="257203200"/>
        <c:axId val="257406464"/>
      </c:scatterChart>
      <c:valAx>
        <c:axId val="257203200"/>
        <c:scaling>
          <c:orientation val="minMax"/>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X</a:t>
                </a:r>
              </a:p>
            </c:rich>
          </c:tx>
          <c:layout>
            <c:manualLayout>
              <c:xMode val="edge"/>
              <c:yMode val="edge"/>
              <c:x val="0.53359781950333129"/>
              <c:y val="0.8695652727875035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257406464"/>
        <c:crosses val="autoZero"/>
        <c:crossBetween val="midCat"/>
      </c:valAx>
      <c:valAx>
        <c:axId val="257406464"/>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257203200"/>
        <c:crosses val="autoZero"/>
        <c:crossBetween val="midCat"/>
      </c:valAx>
      <c:spPr>
        <a:solidFill>
          <a:srgbClr val="FFFFFF"/>
        </a:solidFill>
        <a:ln w="12700">
          <a:solidFill>
            <a:srgbClr val="808080"/>
          </a:solidFill>
          <a:prstDash val="solid"/>
        </a:ln>
      </c:spPr>
    </c:plotArea>
    <c:legend>
      <c:legendPos val="r"/>
      <c:layout>
        <c:manualLayout>
          <c:xMode val="edge"/>
          <c:yMode val="edge"/>
          <c:x val="0.47757641833232384"/>
          <c:y val="2.8815330122569628E-2"/>
          <c:w val="0.49914435695538056"/>
          <c:h val="0.21771696013726438"/>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Narrow"/>
                <a:ea typeface="Arial Narrow"/>
                <a:cs typeface="Arial Narrow"/>
              </a:defRPr>
            </a:pPr>
            <a:r>
              <a:rPr lang="en-US"/>
              <a:t>Post2-Pre2</a:t>
            </a:r>
          </a:p>
        </c:rich>
      </c:tx>
      <c:layout>
        <c:manualLayout>
          <c:xMode val="edge"/>
          <c:yMode val="edge"/>
          <c:x val="1.9762971936200281E-2"/>
          <c:y val="8.3333792192059913E-2"/>
        </c:manualLayout>
      </c:layout>
      <c:overlay val="0"/>
      <c:spPr>
        <a:noFill/>
        <a:ln w="25400">
          <a:noFill/>
        </a:ln>
      </c:spPr>
    </c:title>
    <c:autoTitleDeleted val="0"/>
    <c:plotArea>
      <c:layout>
        <c:manualLayout>
          <c:layoutTarget val="inner"/>
          <c:xMode val="edge"/>
          <c:yMode val="edge"/>
          <c:x val="0.15027982226601655"/>
          <c:y val="0.26827126458380562"/>
          <c:w val="0.80353700885094559"/>
          <c:h val="0.6099977563750818"/>
        </c:manualLayout>
      </c:layout>
      <c:scatterChart>
        <c:scatterStyle val="lineMarker"/>
        <c:varyColors val="0"/>
        <c:ser>
          <c:idx val="0"/>
          <c:order val="0"/>
          <c:tx>
            <c:strRef>
              <c:f>'Sheet 1'!$B$42</c:f>
              <c:strCache>
                <c:ptCount val="1"/>
                <c:pt idx="0">
                  <c:v>Control</c:v>
                </c:pt>
              </c:strCache>
            </c:strRef>
          </c:tx>
          <c:spPr>
            <a:ln w="28575">
              <a:noFill/>
            </a:ln>
          </c:spPr>
          <c:marker>
            <c:symbol val="circle"/>
            <c:size val="6"/>
            <c:spPr>
              <a:solidFill>
                <a:srgbClr val="3366FF"/>
              </a:solidFill>
              <a:ln>
                <a:solidFill>
                  <a:srgbClr val="000000"/>
                </a:solidFill>
                <a:prstDash val="solid"/>
              </a:ln>
            </c:spPr>
          </c:marker>
          <c:trendline>
            <c:spPr>
              <a:ln w="25400">
                <a:solidFill>
                  <a:srgbClr val="0000FF"/>
                </a:solidFill>
                <a:prstDash val="solid"/>
              </a:ln>
            </c:spPr>
            <c:trendlineType val="linear"/>
            <c:dispRSqr val="0"/>
            <c:dispEq val="0"/>
          </c:trendline>
          <c:xVal>
            <c:numRef>
              <c:f>'Sheet 1'!$D$42:$D$61</c:f>
              <c:numCache>
                <c:formatCode>General</c:formatCode>
                <c:ptCount val="20"/>
                <c:pt idx="0">
                  <c:v>6.7175377051765324</c:v>
                </c:pt>
                <c:pt idx="1">
                  <c:v>12.448248175011013</c:v>
                </c:pt>
                <c:pt idx="2">
                  <c:v>4.5211193081484939</c:v>
                </c:pt>
                <c:pt idx="3">
                  <c:v>8.2679289743212188</c:v>
                </c:pt>
                <c:pt idx="4">
                  <c:v>10.863284349957977</c:v>
                </c:pt>
                <c:pt idx="5">
                  <c:v>5.3635668190665875</c:v>
                </c:pt>
                <c:pt idx="6">
                  <c:v>8.8859934695136555</c:v>
                </c:pt>
                <c:pt idx="7">
                  <c:v>9.2311246047874587</c:v>
                </c:pt>
                <c:pt idx="8">
                  <c:v>5.8499177906865114</c:v>
                </c:pt>
                <c:pt idx="9">
                  <c:v>11.343867989039783</c:v>
                </c:pt>
                <c:pt idx="10">
                  <c:v>14.069884777911053</c:v>
                </c:pt>
                <c:pt idx="11">
                  <c:v>10.439691716577061</c:v>
                </c:pt>
                <c:pt idx="12">
                  <c:v>11.606240650890557</c:v>
                </c:pt>
                <c:pt idx="13">
                  <c:v>12.702293837857102</c:v>
                </c:pt>
                <c:pt idx="14">
                  <c:v>13.843325619119696</c:v>
                </c:pt>
                <c:pt idx="15">
                  <c:v>17.65703663588971</c:v>
                </c:pt>
                <c:pt idx="16">
                  <c:v>4.3319343583072438</c:v>
                </c:pt>
                <c:pt idx="17">
                  <c:v>5.4683864923101488</c:v>
                </c:pt>
                <c:pt idx="18">
                  <c:v>7.2272889016366006</c:v>
                </c:pt>
                <c:pt idx="19">
                  <c:v>7.084244013734355</c:v>
                </c:pt>
              </c:numCache>
            </c:numRef>
          </c:xVal>
          <c:yVal>
            <c:numRef>
              <c:f>'Sheet 1'!$M$42:$M$61</c:f>
              <c:numCache>
                <c:formatCode>0.0</c:formatCode>
                <c:ptCount val="20"/>
                <c:pt idx="0">
                  <c:v>15.030057174780893</c:v>
                </c:pt>
                <c:pt idx="1">
                  <c:v>-0.77258661462354894</c:v>
                </c:pt>
                <c:pt idx="2">
                  <c:v>1.7130171983835112</c:v>
                </c:pt>
                <c:pt idx="3">
                  <c:v>-2.2389521400614285</c:v>
                </c:pt>
                <c:pt idx="4">
                  <c:v>21.066020377212965</c:v>
                </c:pt>
                <c:pt idx="5">
                  <c:v>8.0393092209811243</c:v>
                </c:pt>
                <c:pt idx="6">
                  <c:v>21.562215401197705</c:v>
                </c:pt>
                <c:pt idx="7">
                  <c:v>0.95300077576627018</c:v>
                </c:pt>
                <c:pt idx="8">
                  <c:v>8.472154064126812</c:v>
                </c:pt>
                <c:pt idx="9">
                  <c:v>-5.2986702967488668</c:v>
                </c:pt>
                <c:pt idx="10">
                  <c:v>5.445372292782622</c:v>
                </c:pt>
                <c:pt idx="11">
                  <c:v>0.54901395335997449</c:v>
                </c:pt>
                <c:pt idx="12">
                  <c:v>-1.4337917729675382</c:v>
                </c:pt>
                <c:pt idx="13">
                  <c:v>-15.242859308909601</c:v>
                </c:pt>
                <c:pt idx="14">
                  <c:v>-2.6479862558470586</c:v>
                </c:pt>
                <c:pt idx="15">
                  <c:v>-6.079979342748004</c:v>
                </c:pt>
                <c:pt idx="16">
                  <c:v>2.1456360752169417</c:v>
                </c:pt>
                <c:pt idx="17">
                  <c:v>1.9103057595490327</c:v>
                </c:pt>
                <c:pt idx="18">
                  <c:v>-10.229956520343819</c:v>
                </c:pt>
                <c:pt idx="19">
                  <c:v>7.575540027376519</c:v>
                </c:pt>
              </c:numCache>
            </c:numRef>
          </c:yVal>
          <c:smooth val="0"/>
        </c:ser>
        <c:ser>
          <c:idx val="1"/>
          <c:order val="1"/>
          <c:tx>
            <c:strRef>
              <c:f>'Sheet 1'!$B$73</c:f>
              <c:strCache>
                <c:ptCount val="1"/>
                <c:pt idx="0">
                  <c:v>Exptal</c:v>
                </c:pt>
              </c:strCache>
            </c:strRef>
          </c:tx>
          <c:spPr>
            <a:ln w="28575">
              <a:noFill/>
            </a:ln>
          </c:spPr>
          <c:marker>
            <c:symbol val="triangle"/>
            <c:size val="6"/>
            <c:spPr>
              <a:solidFill>
                <a:srgbClr val="FF0000"/>
              </a:solidFill>
              <a:ln>
                <a:solidFill>
                  <a:srgbClr val="000000"/>
                </a:solidFill>
                <a:prstDash val="solid"/>
              </a:ln>
            </c:spPr>
          </c:marker>
          <c:trendline>
            <c:spPr>
              <a:ln w="25400">
                <a:solidFill>
                  <a:srgbClr val="FF0000"/>
                </a:solidFill>
                <a:prstDash val="solid"/>
              </a:ln>
            </c:spPr>
            <c:trendlineType val="linear"/>
            <c:dispRSqr val="0"/>
            <c:dispEq val="0"/>
          </c:trendline>
          <c:xVal>
            <c:numRef>
              <c:f>'Sheet 1'!$D$73:$D$92</c:f>
              <c:numCache>
                <c:formatCode>General</c:formatCode>
                <c:ptCount val="20"/>
                <c:pt idx="0">
                  <c:v>13.776209008775542</c:v>
                </c:pt>
                <c:pt idx="1">
                  <c:v>11.007148422869262</c:v>
                </c:pt>
                <c:pt idx="2">
                  <c:v>11.384459813783169</c:v>
                </c:pt>
                <c:pt idx="3">
                  <c:v>10.772839822582032</c:v>
                </c:pt>
                <c:pt idx="4">
                  <c:v>6.1670195648881609</c:v>
                </c:pt>
                <c:pt idx="5">
                  <c:v>3.0700081084607245</c:v>
                </c:pt>
                <c:pt idx="6">
                  <c:v>6.0266561785287349</c:v>
                </c:pt>
                <c:pt idx="7">
                  <c:v>8.5795952343946524</c:v>
                </c:pt>
                <c:pt idx="8">
                  <c:v>10.271094847436206</c:v>
                </c:pt>
                <c:pt idx="9">
                  <c:v>3.2439257981571377</c:v>
                </c:pt>
                <c:pt idx="10">
                  <c:v>9.0452455283301205</c:v>
                </c:pt>
                <c:pt idx="11">
                  <c:v>10.485463397837401</c:v>
                </c:pt>
                <c:pt idx="12">
                  <c:v>6.2053919306283118</c:v>
                </c:pt>
                <c:pt idx="13">
                  <c:v>10.043285995156898</c:v>
                </c:pt>
                <c:pt idx="14">
                  <c:v>8.0160458643810895</c:v>
                </c:pt>
                <c:pt idx="15">
                  <c:v>5.9277811672944249</c:v>
                </c:pt>
                <c:pt idx="16">
                  <c:v>9.3916550088212816</c:v>
                </c:pt>
                <c:pt idx="17">
                  <c:v>11.545166159440665</c:v>
                </c:pt>
                <c:pt idx="18">
                  <c:v>13.182162714473208</c:v>
                </c:pt>
                <c:pt idx="19">
                  <c:v>10.074882480221746</c:v>
                </c:pt>
              </c:numCache>
            </c:numRef>
          </c:xVal>
          <c:yVal>
            <c:numRef>
              <c:f>'Sheet 1'!$M$73:$M$92</c:f>
              <c:numCache>
                <c:formatCode>0.0</c:formatCode>
                <c:ptCount val="20"/>
                <c:pt idx="0">
                  <c:v>-32.302079130907657</c:v>
                </c:pt>
                <c:pt idx="1">
                  <c:v>26.048922478228974</c:v>
                </c:pt>
                <c:pt idx="2">
                  <c:v>10.056770473159872</c:v>
                </c:pt>
                <c:pt idx="3">
                  <c:v>10.913223789772815</c:v>
                </c:pt>
                <c:pt idx="4">
                  <c:v>21.678836433566573</c:v>
                </c:pt>
                <c:pt idx="5">
                  <c:v>10.787223262829002</c:v>
                </c:pt>
                <c:pt idx="6">
                  <c:v>5.3634435224626031</c:v>
                </c:pt>
                <c:pt idx="7">
                  <c:v>-18.554805033088371</c:v>
                </c:pt>
                <c:pt idx="8">
                  <c:v>-1.705708065780982</c:v>
                </c:pt>
                <c:pt idx="9">
                  <c:v>40.362694380908124</c:v>
                </c:pt>
                <c:pt idx="10">
                  <c:v>-10.484930053438802</c:v>
                </c:pt>
                <c:pt idx="11">
                  <c:v>-6.3083829590484584</c:v>
                </c:pt>
                <c:pt idx="12">
                  <c:v>13.618601026381896</c:v>
                </c:pt>
                <c:pt idx="13">
                  <c:v>-3.8637603726681959</c:v>
                </c:pt>
                <c:pt idx="14">
                  <c:v>1.9824817716424832</c:v>
                </c:pt>
                <c:pt idx="15">
                  <c:v>18.853042322645308</c:v>
                </c:pt>
                <c:pt idx="16">
                  <c:v>24.845590529247147</c:v>
                </c:pt>
                <c:pt idx="17">
                  <c:v>19.437448108518652</c:v>
                </c:pt>
                <c:pt idx="18">
                  <c:v>-20.471680943373144</c:v>
                </c:pt>
                <c:pt idx="19">
                  <c:v>20.575320703952116</c:v>
                </c:pt>
              </c:numCache>
            </c:numRef>
          </c:yVal>
          <c:smooth val="0"/>
        </c:ser>
        <c:ser>
          <c:idx val="2"/>
          <c:order val="2"/>
          <c:tx>
            <c:v>Value of X</c:v>
          </c:tx>
          <c:spPr>
            <a:ln w="12700">
              <a:solidFill>
                <a:srgbClr val="000000"/>
              </a:solidFill>
              <a:prstDash val="sysDash"/>
            </a:ln>
          </c:spPr>
          <c:marker>
            <c:symbol val="none"/>
          </c:marker>
          <c:xVal>
            <c:numRef>
              <c:f>'Sheet 1'!$J$108:$J$109</c:f>
              <c:numCache>
                <c:formatCode>0.00</c:formatCode>
                <c:ptCount val="2"/>
                <c:pt idx="0">
                  <c:v>0</c:v>
                </c:pt>
                <c:pt idx="1">
                  <c:v>0</c:v>
                </c:pt>
              </c:numCache>
            </c:numRef>
          </c:xVal>
          <c:yVal>
            <c:numRef>
              <c:f>'Sheet 1'!$M$106:$M$107</c:f>
              <c:numCache>
                <c:formatCode>0.00</c:formatCode>
                <c:ptCount val="2"/>
                <c:pt idx="0">
                  <c:v>40.362694380908124</c:v>
                </c:pt>
                <c:pt idx="1">
                  <c:v>-32.302079130907657</c:v>
                </c:pt>
              </c:numCache>
            </c:numRef>
          </c:yVal>
          <c:smooth val="0"/>
        </c:ser>
        <c:dLbls>
          <c:showLegendKey val="0"/>
          <c:showVal val="0"/>
          <c:showCatName val="0"/>
          <c:showSerName val="0"/>
          <c:showPercent val="0"/>
          <c:showBubbleSize val="0"/>
        </c:dLbls>
        <c:axId val="257501056"/>
        <c:axId val="257544576"/>
      </c:scatterChart>
      <c:valAx>
        <c:axId val="257501056"/>
        <c:scaling>
          <c:orientation val="minMax"/>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X</a:t>
                </a:r>
              </a:p>
            </c:rich>
          </c:tx>
          <c:layout>
            <c:manualLayout>
              <c:xMode val="edge"/>
              <c:yMode val="edge"/>
              <c:x val="0.52964506359781949"/>
              <c:y val="0.8863668483747224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257544576"/>
        <c:crosses val="autoZero"/>
        <c:crossBetween val="midCat"/>
      </c:valAx>
      <c:valAx>
        <c:axId val="257544576"/>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257501056"/>
        <c:crosses val="autoZero"/>
        <c:crossBetween val="midCat"/>
      </c:valAx>
      <c:spPr>
        <a:solidFill>
          <a:srgbClr val="FFFFFF"/>
        </a:solidFill>
        <a:ln w="12700">
          <a:solidFill>
            <a:srgbClr val="808080"/>
          </a:solidFill>
          <a:prstDash val="solid"/>
        </a:ln>
      </c:spPr>
    </c:plotArea>
    <c:legend>
      <c:legendPos val="r"/>
      <c:layout>
        <c:manualLayout>
          <c:xMode val="edge"/>
          <c:yMode val="edge"/>
          <c:x val="0.51146900868160716"/>
          <c:y val="3.8557898794119271E-2"/>
          <c:w val="0.46833313143549371"/>
          <c:h val="0.19600196391534974"/>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Narrow"/>
                <a:ea typeface="Arial Narrow"/>
                <a:cs typeface="Arial Narrow"/>
              </a:defRPr>
            </a:pPr>
            <a:r>
              <a:rPr lang="en-US"/>
              <a:t>Post2-Post1</a:t>
            </a:r>
          </a:p>
        </c:rich>
      </c:tx>
      <c:layout>
        <c:manualLayout>
          <c:xMode val="edge"/>
          <c:yMode val="edge"/>
          <c:x val="1.9762971936200281E-2"/>
          <c:y val="8.695655831482603E-2"/>
        </c:manualLayout>
      </c:layout>
      <c:overlay val="0"/>
      <c:spPr>
        <a:noFill/>
        <a:ln w="25400">
          <a:noFill/>
        </a:ln>
      </c:spPr>
    </c:title>
    <c:autoTitleDeleted val="0"/>
    <c:plotArea>
      <c:layout>
        <c:manualLayout>
          <c:layoutTarget val="inner"/>
          <c:xMode val="edge"/>
          <c:yMode val="edge"/>
          <c:x val="0.15027982226601655"/>
          <c:y val="0.30862983909087061"/>
          <c:w val="0.80353700885094559"/>
          <c:h val="0.55044290889402692"/>
        </c:manualLayout>
      </c:layout>
      <c:scatterChart>
        <c:scatterStyle val="lineMarker"/>
        <c:varyColors val="0"/>
        <c:ser>
          <c:idx val="0"/>
          <c:order val="0"/>
          <c:tx>
            <c:strRef>
              <c:f>'Sheet 1'!$B$42</c:f>
              <c:strCache>
                <c:ptCount val="1"/>
                <c:pt idx="0">
                  <c:v>Control</c:v>
                </c:pt>
              </c:strCache>
            </c:strRef>
          </c:tx>
          <c:spPr>
            <a:ln w="28575">
              <a:noFill/>
            </a:ln>
          </c:spPr>
          <c:marker>
            <c:symbol val="circle"/>
            <c:size val="6"/>
            <c:spPr>
              <a:solidFill>
                <a:srgbClr val="3366FF"/>
              </a:solidFill>
              <a:ln>
                <a:solidFill>
                  <a:srgbClr val="000000"/>
                </a:solidFill>
                <a:prstDash val="solid"/>
              </a:ln>
            </c:spPr>
          </c:marker>
          <c:trendline>
            <c:spPr>
              <a:ln w="25400">
                <a:solidFill>
                  <a:srgbClr val="0000FF"/>
                </a:solidFill>
                <a:prstDash val="solid"/>
              </a:ln>
            </c:spPr>
            <c:trendlineType val="linear"/>
            <c:dispRSqr val="0"/>
            <c:dispEq val="0"/>
          </c:trendline>
          <c:xVal>
            <c:numRef>
              <c:f>'Sheet 1'!$D$42:$D$61</c:f>
              <c:numCache>
                <c:formatCode>General</c:formatCode>
                <c:ptCount val="20"/>
                <c:pt idx="0">
                  <c:v>6.7175377051765324</c:v>
                </c:pt>
                <c:pt idx="1">
                  <c:v>12.448248175011013</c:v>
                </c:pt>
                <c:pt idx="2">
                  <c:v>4.5211193081484939</c:v>
                </c:pt>
                <c:pt idx="3">
                  <c:v>8.2679289743212188</c:v>
                </c:pt>
                <c:pt idx="4">
                  <c:v>10.863284349957977</c:v>
                </c:pt>
                <c:pt idx="5">
                  <c:v>5.3635668190665875</c:v>
                </c:pt>
                <c:pt idx="6">
                  <c:v>8.8859934695136555</c:v>
                </c:pt>
                <c:pt idx="7">
                  <c:v>9.2311246047874587</c:v>
                </c:pt>
                <c:pt idx="8">
                  <c:v>5.8499177906865114</c:v>
                </c:pt>
                <c:pt idx="9">
                  <c:v>11.343867989039783</c:v>
                </c:pt>
                <c:pt idx="10">
                  <c:v>14.069884777911053</c:v>
                </c:pt>
                <c:pt idx="11">
                  <c:v>10.439691716577061</c:v>
                </c:pt>
                <c:pt idx="12">
                  <c:v>11.606240650890557</c:v>
                </c:pt>
                <c:pt idx="13">
                  <c:v>12.702293837857102</c:v>
                </c:pt>
                <c:pt idx="14">
                  <c:v>13.843325619119696</c:v>
                </c:pt>
                <c:pt idx="15">
                  <c:v>17.65703663588971</c:v>
                </c:pt>
                <c:pt idx="16">
                  <c:v>4.3319343583072438</c:v>
                </c:pt>
                <c:pt idx="17">
                  <c:v>5.4683864923101488</c:v>
                </c:pt>
                <c:pt idx="18">
                  <c:v>7.2272889016366006</c:v>
                </c:pt>
                <c:pt idx="19">
                  <c:v>7.084244013734355</c:v>
                </c:pt>
              </c:numCache>
            </c:numRef>
          </c:xVal>
          <c:yVal>
            <c:numRef>
              <c:f>'Sheet 1'!$N$42:$N$61</c:f>
              <c:numCache>
                <c:formatCode>0.0</c:formatCode>
                <c:ptCount val="20"/>
                <c:pt idx="0">
                  <c:v>1.0923271377680521</c:v>
                </c:pt>
                <c:pt idx="1">
                  <c:v>2.4867060863183497</c:v>
                </c:pt>
                <c:pt idx="2">
                  <c:v>-8.8497804191647447</c:v>
                </c:pt>
                <c:pt idx="3">
                  <c:v>-14.452866213535685</c:v>
                </c:pt>
                <c:pt idx="4">
                  <c:v>18.747140271246224</c:v>
                </c:pt>
                <c:pt idx="5">
                  <c:v>-11.812994118796496</c:v>
                </c:pt>
                <c:pt idx="6">
                  <c:v>17.493995069262382</c:v>
                </c:pt>
                <c:pt idx="7">
                  <c:v>-13.320125413980634</c:v>
                </c:pt>
                <c:pt idx="8">
                  <c:v>2.8093062737978016</c:v>
                </c:pt>
                <c:pt idx="9">
                  <c:v>3.8151107564969493</c:v>
                </c:pt>
                <c:pt idx="10">
                  <c:v>-27.954077620443059</c:v>
                </c:pt>
                <c:pt idx="11">
                  <c:v>-14.267332013477585</c:v>
                </c:pt>
                <c:pt idx="12">
                  <c:v>5.95685557433859</c:v>
                </c:pt>
                <c:pt idx="13">
                  <c:v>-32.875450544026705</c:v>
                </c:pt>
                <c:pt idx="14">
                  <c:v>-7.9131648741993104</c:v>
                </c:pt>
                <c:pt idx="15">
                  <c:v>0.84070003541836513</c:v>
                </c:pt>
                <c:pt idx="16">
                  <c:v>4.6774149034487209</c:v>
                </c:pt>
                <c:pt idx="17">
                  <c:v>-3.5854064789236872</c:v>
                </c:pt>
                <c:pt idx="18">
                  <c:v>0.68463835697554032</c:v>
                </c:pt>
                <c:pt idx="19">
                  <c:v>11.326875042347524</c:v>
                </c:pt>
              </c:numCache>
            </c:numRef>
          </c:yVal>
          <c:smooth val="0"/>
        </c:ser>
        <c:ser>
          <c:idx val="1"/>
          <c:order val="1"/>
          <c:tx>
            <c:strRef>
              <c:f>'Sheet 1'!$B$73</c:f>
              <c:strCache>
                <c:ptCount val="1"/>
                <c:pt idx="0">
                  <c:v>Exptal</c:v>
                </c:pt>
              </c:strCache>
            </c:strRef>
          </c:tx>
          <c:spPr>
            <a:ln w="28575">
              <a:noFill/>
            </a:ln>
          </c:spPr>
          <c:marker>
            <c:symbol val="triangle"/>
            <c:size val="6"/>
            <c:spPr>
              <a:solidFill>
                <a:srgbClr val="FF0000"/>
              </a:solidFill>
              <a:ln>
                <a:solidFill>
                  <a:srgbClr val="000000"/>
                </a:solidFill>
                <a:prstDash val="solid"/>
              </a:ln>
            </c:spPr>
          </c:marker>
          <c:trendline>
            <c:spPr>
              <a:ln w="25400">
                <a:solidFill>
                  <a:srgbClr val="FF0000"/>
                </a:solidFill>
                <a:prstDash val="solid"/>
              </a:ln>
            </c:spPr>
            <c:trendlineType val="linear"/>
            <c:dispRSqr val="0"/>
            <c:dispEq val="0"/>
          </c:trendline>
          <c:xVal>
            <c:numRef>
              <c:f>'Sheet 1'!$D$73:$D$92</c:f>
              <c:numCache>
                <c:formatCode>General</c:formatCode>
                <c:ptCount val="20"/>
                <c:pt idx="0">
                  <c:v>13.776209008775542</c:v>
                </c:pt>
                <c:pt idx="1">
                  <c:v>11.007148422869262</c:v>
                </c:pt>
                <c:pt idx="2">
                  <c:v>11.384459813783169</c:v>
                </c:pt>
                <c:pt idx="3">
                  <c:v>10.772839822582032</c:v>
                </c:pt>
                <c:pt idx="4">
                  <c:v>6.1670195648881609</c:v>
                </c:pt>
                <c:pt idx="5">
                  <c:v>3.0700081084607245</c:v>
                </c:pt>
                <c:pt idx="6">
                  <c:v>6.0266561785287349</c:v>
                </c:pt>
                <c:pt idx="7">
                  <c:v>8.5795952343946524</c:v>
                </c:pt>
                <c:pt idx="8">
                  <c:v>10.271094847436206</c:v>
                </c:pt>
                <c:pt idx="9">
                  <c:v>3.2439257981571377</c:v>
                </c:pt>
                <c:pt idx="10">
                  <c:v>9.0452455283301205</c:v>
                </c:pt>
                <c:pt idx="11">
                  <c:v>10.485463397837401</c:v>
                </c:pt>
                <c:pt idx="12">
                  <c:v>6.2053919306283118</c:v>
                </c:pt>
                <c:pt idx="13">
                  <c:v>10.043285995156898</c:v>
                </c:pt>
                <c:pt idx="14">
                  <c:v>8.0160458643810895</c:v>
                </c:pt>
                <c:pt idx="15">
                  <c:v>5.9277811672944249</c:v>
                </c:pt>
                <c:pt idx="16">
                  <c:v>9.3916550088212816</c:v>
                </c:pt>
                <c:pt idx="17">
                  <c:v>11.545166159440665</c:v>
                </c:pt>
                <c:pt idx="18">
                  <c:v>13.182162714473208</c:v>
                </c:pt>
                <c:pt idx="19">
                  <c:v>10.074882480221746</c:v>
                </c:pt>
              </c:numCache>
            </c:numRef>
          </c:xVal>
          <c:yVal>
            <c:numRef>
              <c:f>'Sheet 1'!$N$73:$N$92</c:f>
              <c:numCache>
                <c:formatCode>0.0</c:formatCode>
                <c:ptCount val="20"/>
                <c:pt idx="0">
                  <c:v>-17.433490475315239</c:v>
                </c:pt>
                <c:pt idx="1">
                  <c:v>19.550948820637871</c:v>
                </c:pt>
                <c:pt idx="2">
                  <c:v>-8.097817656236316</c:v>
                </c:pt>
                <c:pt idx="3">
                  <c:v>-6.8055390772769897E-4</c:v>
                </c:pt>
                <c:pt idx="4">
                  <c:v>-10.61350236565761</c:v>
                </c:pt>
                <c:pt idx="5">
                  <c:v>17.723042793992192</c:v>
                </c:pt>
                <c:pt idx="6">
                  <c:v>-12.396410192615804</c:v>
                </c:pt>
                <c:pt idx="7">
                  <c:v>-34.509814193828618</c:v>
                </c:pt>
                <c:pt idx="8">
                  <c:v>11.035841421288524</c:v>
                </c:pt>
                <c:pt idx="9">
                  <c:v>-1.0008129266632864</c:v>
                </c:pt>
                <c:pt idx="10">
                  <c:v>-21.337062330041761</c:v>
                </c:pt>
                <c:pt idx="11">
                  <c:v>0.40760035616943924</c:v>
                </c:pt>
                <c:pt idx="12">
                  <c:v>-17.242128601284776</c:v>
                </c:pt>
                <c:pt idx="13">
                  <c:v>-37.272999507541613</c:v>
                </c:pt>
                <c:pt idx="14">
                  <c:v>-14.148728682202886</c:v>
                </c:pt>
                <c:pt idx="15">
                  <c:v>7.6189836058047149</c:v>
                </c:pt>
                <c:pt idx="16">
                  <c:v>6.7915190236608396</c:v>
                </c:pt>
                <c:pt idx="17">
                  <c:v>16.108491468499551</c:v>
                </c:pt>
                <c:pt idx="18">
                  <c:v>-31.621630149343105</c:v>
                </c:pt>
                <c:pt idx="19">
                  <c:v>4.6377483389380814</c:v>
                </c:pt>
              </c:numCache>
            </c:numRef>
          </c:yVal>
          <c:smooth val="0"/>
        </c:ser>
        <c:ser>
          <c:idx val="2"/>
          <c:order val="2"/>
          <c:tx>
            <c:v>Value of X</c:v>
          </c:tx>
          <c:spPr>
            <a:ln w="12700">
              <a:solidFill>
                <a:srgbClr val="000000"/>
              </a:solidFill>
              <a:prstDash val="sysDash"/>
            </a:ln>
          </c:spPr>
          <c:marker>
            <c:symbol val="none"/>
          </c:marker>
          <c:xVal>
            <c:numRef>
              <c:f>'Sheet 1'!$J$108:$J$109</c:f>
              <c:numCache>
                <c:formatCode>0.00</c:formatCode>
                <c:ptCount val="2"/>
                <c:pt idx="0">
                  <c:v>0</c:v>
                </c:pt>
                <c:pt idx="1">
                  <c:v>0</c:v>
                </c:pt>
              </c:numCache>
            </c:numRef>
          </c:xVal>
          <c:yVal>
            <c:numRef>
              <c:f>'Sheet 1'!$N$106:$N$107</c:f>
              <c:numCache>
                <c:formatCode>0.00</c:formatCode>
                <c:ptCount val="2"/>
                <c:pt idx="0">
                  <c:v>19.550948820637871</c:v>
                </c:pt>
                <c:pt idx="1">
                  <c:v>-37.272999507541613</c:v>
                </c:pt>
              </c:numCache>
            </c:numRef>
          </c:yVal>
          <c:smooth val="0"/>
        </c:ser>
        <c:dLbls>
          <c:showLegendKey val="0"/>
          <c:showVal val="0"/>
          <c:showCatName val="0"/>
          <c:showSerName val="0"/>
          <c:showPercent val="0"/>
          <c:showBubbleSize val="0"/>
        </c:dLbls>
        <c:axId val="258924544"/>
        <c:axId val="259231744"/>
      </c:scatterChart>
      <c:valAx>
        <c:axId val="258924544"/>
        <c:scaling>
          <c:orientation val="minMax"/>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X</a:t>
                </a:r>
              </a:p>
            </c:rich>
          </c:tx>
          <c:layout>
            <c:manualLayout>
              <c:xMode val="edge"/>
              <c:yMode val="edge"/>
              <c:x val="0.5375505754088431"/>
              <c:y val="0.8695651625277610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259231744"/>
        <c:crosses val="autoZero"/>
        <c:crossBetween val="midCat"/>
      </c:valAx>
      <c:valAx>
        <c:axId val="259231744"/>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258924544"/>
        <c:crosses val="autoZero"/>
        <c:crossBetween val="midCat"/>
      </c:valAx>
      <c:spPr>
        <a:solidFill>
          <a:srgbClr val="FFFFFF"/>
        </a:solidFill>
        <a:ln w="12700">
          <a:solidFill>
            <a:srgbClr val="808080"/>
          </a:solidFill>
          <a:prstDash val="solid"/>
        </a:ln>
      </c:spPr>
    </c:plotArea>
    <c:legend>
      <c:legendPos val="r"/>
      <c:layout>
        <c:manualLayout>
          <c:xMode val="edge"/>
          <c:yMode val="edge"/>
          <c:x val="0.44676519281243687"/>
          <c:y val="3.8557860555892054E-2"/>
          <c:w val="0.51454996971532407"/>
          <c:h val="0.15423102160306887"/>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Narrow"/>
                <a:ea typeface="Arial Narrow"/>
                <a:cs typeface="Arial Narrow"/>
              </a:defRPr>
            </a:pPr>
            <a:r>
              <a:rPr lang="en-US"/>
              <a:t>Pre2-Pre1</a:t>
            </a:r>
          </a:p>
        </c:rich>
      </c:tx>
      <c:layout>
        <c:manualLayout>
          <c:xMode val="edge"/>
          <c:yMode val="edge"/>
          <c:x val="2.3715324046032708E-2"/>
          <c:y val="8.6580390322496814E-2"/>
        </c:manualLayout>
      </c:layout>
      <c:overlay val="0"/>
      <c:spPr>
        <a:noFill/>
        <a:ln w="25400">
          <a:noFill/>
        </a:ln>
      </c:spPr>
    </c:title>
    <c:autoTitleDeleted val="0"/>
    <c:plotArea>
      <c:layout>
        <c:manualLayout>
          <c:layoutTarget val="inner"/>
          <c:xMode val="edge"/>
          <c:yMode val="edge"/>
          <c:x val="0.15027982226601655"/>
          <c:y val="0.27884811763904965"/>
          <c:w val="0.80353700885094559"/>
          <c:h val="0.57390833514083472"/>
        </c:manualLayout>
      </c:layout>
      <c:scatterChart>
        <c:scatterStyle val="lineMarker"/>
        <c:varyColors val="0"/>
        <c:ser>
          <c:idx val="0"/>
          <c:order val="0"/>
          <c:tx>
            <c:strRef>
              <c:f>'Sheet 1'!$B$42</c:f>
              <c:strCache>
                <c:ptCount val="1"/>
                <c:pt idx="0">
                  <c:v>Control</c:v>
                </c:pt>
              </c:strCache>
            </c:strRef>
          </c:tx>
          <c:spPr>
            <a:ln w="28575">
              <a:noFill/>
            </a:ln>
          </c:spPr>
          <c:marker>
            <c:symbol val="circle"/>
            <c:size val="6"/>
            <c:spPr>
              <a:solidFill>
                <a:srgbClr val="3366FF"/>
              </a:solidFill>
              <a:ln>
                <a:solidFill>
                  <a:srgbClr val="000000"/>
                </a:solidFill>
                <a:prstDash val="solid"/>
              </a:ln>
            </c:spPr>
          </c:marker>
          <c:trendline>
            <c:name>Control</c:name>
            <c:spPr>
              <a:ln w="25400">
                <a:solidFill>
                  <a:srgbClr val="0000FF"/>
                </a:solidFill>
                <a:prstDash val="solid"/>
              </a:ln>
            </c:spPr>
            <c:trendlineType val="linear"/>
            <c:dispRSqr val="0"/>
            <c:dispEq val="0"/>
          </c:trendline>
          <c:xVal>
            <c:numRef>
              <c:f>'Sheet 1'!$T$42:$T$61</c:f>
              <c:numCache>
                <c:formatCode>General</c:formatCode>
                <c:ptCount val="20"/>
                <c:pt idx="0">
                  <c:v>6.7175377051765324</c:v>
                </c:pt>
                <c:pt idx="1">
                  <c:v>12.448248175011013</c:v>
                </c:pt>
                <c:pt idx="2">
                  <c:v>4.5211193081484939</c:v>
                </c:pt>
                <c:pt idx="3">
                  <c:v>8.2679289743212188</c:v>
                </c:pt>
                <c:pt idx="4">
                  <c:v>10.863284349957977</c:v>
                </c:pt>
                <c:pt idx="5">
                  <c:v>5.3635668190665875</c:v>
                </c:pt>
                <c:pt idx="6">
                  <c:v>8.8859934695136555</c:v>
                </c:pt>
                <c:pt idx="7">
                  <c:v>9.2311246047874587</c:v>
                </c:pt>
                <c:pt idx="8">
                  <c:v>5.8499177906865114</c:v>
                </c:pt>
                <c:pt idx="9">
                  <c:v>11.343867989039783</c:v>
                </c:pt>
                <c:pt idx="10">
                  <c:v>14.069884777911053</c:v>
                </c:pt>
                <c:pt idx="11">
                  <c:v>10.439691716577061</c:v>
                </c:pt>
                <c:pt idx="12">
                  <c:v>11.606240650890557</c:v>
                </c:pt>
                <c:pt idx="13">
                  <c:v>12.702293837857102</c:v>
                </c:pt>
                <c:pt idx="14">
                  <c:v>13.843325619119696</c:v>
                </c:pt>
                <c:pt idx="15">
                  <c:v>17.65703663588971</c:v>
                </c:pt>
                <c:pt idx="16">
                  <c:v>4.3319343583072438</c:v>
                </c:pt>
                <c:pt idx="17">
                  <c:v>5.4683864923101488</c:v>
                </c:pt>
                <c:pt idx="18">
                  <c:v>7.2272889016366006</c:v>
                </c:pt>
                <c:pt idx="19">
                  <c:v>7.084244013734355</c:v>
                </c:pt>
              </c:numCache>
            </c:numRef>
          </c:xVal>
          <c:yVal>
            <c:numRef>
              <c:f>'Sheet 1'!$AA$42:$AA$61</c:f>
              <c:numCache>
                <c:formatCode>0.0</c:formatCode>
                <c:ptCount val="20"/>
                <c:pt idx="0">
                  <c:v>-1.6764979401992832</c:v>
                </c:pt>
                <c:pt idx="1">
                  <c:v>1.4511541769326186</c:v>
                </c:pt>
                <c:pt idx="2">
                  <c:v>3.4947869342108788</c:v>
                </c:pt>
                <c:pt idx="3">
                  <c:v>8.0261484794222042</c:v>
                </c:pt>
                <c:pt idx="4">
                  <c:v>-4.5504802854865147</c:v>
                </c:pt>
                <c:pt idx="5">
                  <c:v>1.8269536872230674</c:v>
                </c:pt>
                <c:pt idx="6">
                  <c:v>-1.2845237794882678</c:v>
                </c:pt>
                <c:pt idx="7">
                  <c:v>-1.7308798055277066</c:v>
                </c:pt>
                <c:pt idx="8">
                  <c:v>3.2168378290886039</c:v>
                </c:pt>
                <c:pt idx="9">
                  <c:v>2.4094305757693064</c:v>
                </c:pt>
                <c:pt idx="10">
                  <c:v>-2.6501636825680635</c:v>
                </c:pt>
                <c:pt idx="11">
                  <c:v>4.5894677912007182</c:v>
                </c:pt>
                <c:pt idx="12">
                  <c:v>-1.6659261095536522</c:v>
                </c:pt>
                <c:pt idx="13">
                  <c:v>-1.7506550290015639</c:v>
                </c:pt>
                <c:pt idx="14">
                  <c:v>-0.33027971822514246</c:v>
                </c:pt>
                <c:pt idx="15">
                  <c:v>-1.1467800136291544</c:v>
                </c:pt>
                <c:pt idx="16">
                  <c:v>0.81501266936481898</c:v>
                </c:pt>
                <c:pt idx="17">
                  <c:v>-2.4352694500191774</c:v>
                </c:pt>
                <c:pt idx="18">
                  <c:v>2.5310140220071844</c:v>
                </c:pt>
                <c:pt idx="19">
                  <c:v>2.1083658554214253</c:v>
                </c:pt>
              </c:numCache>
            </c:numRef>
          </c:yVal>
          <c:smooth val="0"/>
        </c:ser>
        <c:ser>
          <c:idx val="1"/>
          <c:order val="1"/>
          <c:tx>
            <c:strRef>
              <c:f>'Sheet 1'!$B$73</c:f>
              <c:strCache>
                <c:ptCount val="1"/>
                <c:pt idx="0">
                  <c:v>Exptal</c:v>
                </c:pt>
              </c:strCache>
            </c:strRef>
          </c:tx>
          <c:spPr>
            <a:ln w="28575">
              <a:noFill/>
            </a:ln>
          </c:spPr>
          <c:marker>
            <c:symbol val="triangle"/>
            <c:size val="6"/>
            <c:spPr>
              <a:solidFill>
                <a:srgbClr val="FF0000"/>
              </a:solidFill>
              <a:ln>
                <a:solidFill>
                  <a:srgbClr val="000000"/>
                </a:solidFill>
                <a:prstDash val="solid"/>
              </a:ln>
            </c:spPr>
          </c:marker>
          <c:trendline>
            <c:name>Exptal</c:name>
            <c:spPr>
              <a:ln w="25400">
                <a:solidFill>
                  <a:srgbClr val="FF0000"/>
                </a:solidFill>
                <a:prstDash val="solid"/>
              </a:ln>
            </c:spPr>
            <c:trendlineType val="linear"/>
            <c:dispRSqr val="0"/>
            <c:dispEq val="0"/>
          </c:trendline>
          <c:xVal>
            <c:numRef>
              <c:f>'Sheet 1'!$T$73:$T$92</c:f>
              <c:numCache>
                <c:formatCode>General</c:formatCode>
                <c:ptCount val="20"/>
                <c:pt idx="0">
                  <c:v>13.776209008775542</c:v>
                </c:pt>
                <c:pt idx="1">
                  <c:v>11.007148422869262</c:v>
                </c:pt>
                <c:pt idx="2">
                  <c:v>11.384459813783169</c:v>
                </c:pt>
                <c:pt idx="3">
                  <c:v>10.772839822582032</c:v>
                </c:pt>
                <c:pt idx="4">
                  <c:v>6.1670195648881609</c:v>
                </c:pt>
                <c:pt idx="5">
                  <c:v>3.0700081084607245</c:v>
                </c:pt>
                <c:pt idx="6">
                  <c:v>6.0266561785287349</c:v>
                </c:pt>
                <c:pt idx="7">
                  <c:v>8.5795952343946524</c:v>
                </c:pt>
                <c:pt idx="8">
                  <c:v>10.271094847436206</c:v>
                </c:pt>
                <c:pt idx="9">
                  <c:v>3.2439257981571377</c:v>
                </c:pt>
                <c:pt idx="10">
                  <c:v>9.0452455283301205</c:v>
                </c:pt>
                <c:pt idx="11">
                  <c:v>10.485463397837401</c:v>
                </c:pt>
                <c:pt idx="12">
                  <c:v>6.2053919306283118</c:v>
                </c:pt>
                <c:pt idx="13">
                  <c:v>10.043285995156898</c:v>
                </c:pt>
                <c:pt idx="14">
                  <c:v>8.0160458643810895</c:v>
                </c:pt>
                <c:pt idx="15">
                  <c:v>5.9277811672944249</c:v>
                </c:pt>
                <c:pt idx="16">
                  <c:v>9.3916550088212816</c:v>
                </c:pt>
                <c:pt idx="17">
                  <c:v>11.545166159440665</c:v>
                </c:pt>
                <c:pt idx="18">
                  <c:v>13.182162714473208</c:v>
                </c:pt>
                <c:pt idx="19">
                  <c:v>10.074882480221746</c:v>
                </c:pt>
              </c:numCache>
            </c:numRef>
          </c:xVal>
          <c:yVal>
            <c:numRef>
              <c:f>'Sheet 1'!$AA$73:$AA$92</c:f>
              <c:numCache>
                <c:formatCode>0.0</c:formatCode>
                <c:ptCount val="20"/>
                <c:pt idx="0">
                  <c:v>0.55109825208683105</c:v>
                </c:pt>
                <c:pt idx="1">
                  <c:v>0.69526529348536315</c:v>
                </c:pt>
                <c:pt idx="2">
                  <c:v>-0.35350051321745468</c:v>
                </c:pt>
                <c:pt idx="3">
                  <c:v>0.91303527726722677</c:v>
                </c:pt>
                <c:pt idx="4">
                  <c:v>3.3999241335751549</c:v>
                </c:pt>
                <c:pt idx="5">
                  <c:v>1.5259111067646245</c:v>
                </c:pt>
                <c:pt idx="6">
                  <c:v>10.457124547068361</c:v>
                </c:pt>
                <c:pt idx="7">
                  <c:v>1.976717140831056</c:v>
                </c:pt>
                <c:pt idx="8">
                  <c:v>4.5707648603583948</c:v>
                </c:pt>
                <c:pt idx="9">
                  <c:v>4.9441352248639987</c:v>
                </c:pt>
                <c:pt idx="10">
                  <c:v>1.6763822100911057</c:v>
                </c:pt>
                <c:pt idx="11">
                  <c:v>5.3440268418502228</c:v>
                </c:pt>
                <c:pt idx="12">
                  <c:v>-3.8744681508035228</c:v>
                </c:pt>
                <c:pt idx="13">
                  <c:v>7.0483757356656724</c:v>
                </c:pt>
                <c:pt idx="14">
                  <c:v>1.3544011220749326</c:v>
                </c:pt>
                <c:pt idx="15">
                  <c:v>-2.7822786958333836</c:v>
                </c:pt>
                <c:pt idx="16">
                  <c:v>2.0082141399732336</c:v>
                </c:pt>
                <c:pt idx="17">
                  <c:v>-1.8049854224844921</c:v>
                </c:pt>
                <c:pt idx="18">
                  <c:v>6.1819618780690462</c:v>
                </c:pt>
                <c:pt idx="19">
                  <c:v>-1.4317114019660266</c:v>
                </c:pt>
              </c:numCache>
            </c:numRef>
          </c:yVal>
          <c:smooth val="0"/>
        </c:ser>
        <c:ser>
          <c:idx val="2"/>
          <c:order val="2"/>
          <c:tx>
            <c:v>Value of X</c:v>
          </c:tx>
          <c:spPr>
            <a:ln w="12700">
              <a:solidFill>
                <a:srgbClr val="000000"/>
              </a:solidFill>
              <a:prstDash val="sysDash"/>
            </a:ln>
          </c:spPr>
          <c:marker>
            <c:symbol val="none"/>
          </c:marker>
          <c:xVal>
            <c:numRef>
              <c:f>'Sheet 1'!$Z$108:$Z$109</c:f>
              <c:numCache>
                <c:formatCode>0.00</c:formatCode>
                <c:ptCount val="2"/>
                <c:pt idx="0">
                  <c:v>0</c:v>
                </c:pt>
                <c:pt idx="1">
                  <c:v>0</c:v>
                </c:pt>
              </c:numCache>
            </c:numRef>
          </c:xVal>
          <c:yVal>
            <c:numRef>
              <c:f>'Sheet 1'!$AA$106:$AA$107</c:f>
              <c:numCache>
                <c:formatCode>0.00</c:formatCode>
                <c:ptCount val="2"/>
                <c:pt idx="0">
                  <c:v>10.457124547068361</c:v>
                </c:pt>
                <c:pt idx="1">
                  <c:v>-4.5504802854865147</c:v>
                </c:pt>
              </c:numCache>
            </c:numRef>
          </c:yVal>
          <c:smooth val="0"/>
        </c:ser>
        <c:dLbls>
          <c:showLegendKey val="0"/>
          <c:showVal val="0"/>
          <c:showCatName val="0"/>
          <c:showSerName val="0"/>
          <c:showPercent val="0"/>
          <c:showBubbleSize val="0"/>
        </c:dLbls>
        <c:axId val="261522560"/>
        <c:axId val="261524480"/>
      </c:scatterChart>
      <c:valAx>
        <c:axId val="261522560"/>
        <c:scaling>
          <c:orientation val="minMax"/>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X</a:t>
                </a:r>
              </a:p>
            </c:rich>
          </c:tx>
          <c:layout>
            <c:manualLayout>
              <c:xMode val="edge"/>
              <c:yMode val="edge"/>
              <c:x val="0.52964506359781949"/>
              <c:y val="0.8701333125438527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261524480"/>
        <c:crosses val="autoZero"/>
        <c:crossBetween val="midCat"/>
      </c:valAx>
      <c:valAx>
        <c:axId val="26152448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261522560"/>
        <c:crosses val="autoZero"/>
        <c:crossBetween val="midCat"/>
      </c:valAx>
      <c:spPr>
        <a:solidFill>
          <a:srgbClr val="FFFFFF"/>
        </a:solidFill>
        <a:ln w="12700">
          <a:solidFill>
            <a:srgbClr val="808080"/>
          </a:solidFill>
          <a:prstDash val="solid"/>
        </a:ln>
      </c:spPr>
    </c:plotArea>
    <c:legend>
      <c:legendPos val="r"/>
      <c:layout>
        <c:manualLayout>
          <c:xMode val="edge"/>
          <c:yMode val="edge"/>
          <c:x val="0.45908944074298408"/>
          <c:y val="3.2597039231482203E-2"/>
          <c:w val="0.50222531798909753"/>
          <c:h val="0.2053615204040089"/>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Narrow"/>
                <a:ea typeface="Arial Narrow"/>
                <a:cs typeface="Arial Narrow"/>
              </a:defRPr>
            </a:pPr>
            <a:r>
              <a:rPr lang="en-US"/>
              <a:t>Post1-Pre2</a:t>
            </a:r>
          </a:p>
        </c:rich>
      </c:tx>
      <c:layout>
        <c:manualLayout>
          <c:xMode val="edge"/>
          <c:yMode val="edge"/>
          <c:x val="1.9762971936200281E-2"/>
          <c:y val="8.6956484808331E-2"/>
        </c:manualLayout>
      </c:layout>
      <c:overlay val="0"/>
      <c:spPr>
        <a:noFill/>
        <a:ln w="25400">
          <a:noFill/>
        </a:ln>
      </c:spPr>
    </c:title>
    <c:autoTitleDeleted val="0"/>
    <c:plotArea>
      <c:layout>
        <c:manualLayout>
          <c:layoutTarget val="inner"/>
          <c:xMode val="edge"/>
          <c:yMode val="edge"/>
          <c:x val="0.13801208167287232"/>
          <c:y val="0.29272108449855772"/>
          <c:w val="0.81580474944408998"/>
          <c:h val="0.5631699125678773"/>
        </c:manualLayout>
      </c:layout>
      <c:scatterChart>
        <c:scatterStyle val="lineMarker"/>
        <c:varyColors val="0"/>
        <c:ser>
          <c:idx val="0"/>
          <c:order val="0"/>
          <c:tx>
            <c:strRef>
              <c:f>'Sheet 1'!$B$42</c:f>
              <c:strCache>
                <c:ptCount val="1"/>
                <c:pt idx="0">
                  <c:v>Control</c:v>
                </c:pt>
              </c:strCache>
            </c:strRef>
          </c:tx>
          <c:spPr>
            <a:ln w="28575">
              <a:noFill/>
            </a:ln>
          </c:spPr>
          <c:marker>
            <c:symbol val="circle"/>
            <c:size val="6"/>
            <c:spPr>
              <a:solidFill>
                <a:srgbClr val="3366FF"/>
              </a:solidFill>
              <a:ln>
                <a:solidFill>
                  <a:srgbClr val="000000"/>
                </a:solidFill>
                <a:prstDash val="solid"/>
              </a:ln>
            </c:spPr>
          </c:marker>
          <c:trendline>
            <c:name>Control</c:name>
            <c:spPr>
              <a:ln w="25400">
                <a:solidFill>
                  <a:srgbClr val="0000FF"/>
                </a:solidFill>
                <a:prstDash val="solid"/>
              </a:ln>
            </c:spPr>
            <c:trendlineType val="linear"/>
            <c:dispRSqr val="0"/>
            <c:dispEq val="0"/>
          </c:trendline>
          <c:xVal>
            <c:numRef>
              <c:f>'Sheet 1'!$T$42:$T$61</c:f>
              <c:numCache>
                <c:formatCode>General</c:formatCode>
                <c:ptCount val="20"/>
                <c:pt idx="0">
                  <c:v>6.7175377051765324</c:v>
                </c:pt>
                <c:pt idx="1">
                  <c:v>12.448248175011013</c:v>
                </c:pt>
                <c:pt idx="2">
                  <c:v>4.5211193081484939</c:v>
                </c:pt>
                <c:pt idx="3">
                  <c:v>8.2679289743212188</c:v>
                </c:pt>
                <c:pt idx="4">
                  <c:v>10.863284349957977</c:v>
                </c:pt>
                <c:pt idx="5">
                  <c:v>5.3635668190665875</c:v>
                </c:pt>
                <c:pt idx="6">
                  <c:v>8.8859934695136555</c:v>
                </c:pt>
                <c:pt idx="7">
                  <c:v>9.2311246047874587</c:v>
                </c:pt>
                <c:pt idx="8">
                  <c:v>5.8499177906865114</c:v>
                </c:pt>
                <c:pt idx="9">
                  <c:v>11.343867989039783</c:v>
                </c:pt>
                <c:pt idx="10">
                  <c:v>14.069884777911053</c:v>
                </c:pt>
                <c:pt idx="11">
                  <c:v>10.439691716577061</c:v>
                </c:pt>
                <c:pt idx="12">
                  <c:v>11.606240650890557</c:v>
                </c:pt>
                <c:pt idx="13">
                  <c:v>12.702293837857102</c:v>
                </c:pt>
                <c:pt idx="14">
                  <c:v>13.843325619119696</c:v>
                </c:pt>
                <c:pt idx="15">
                  <c:v>17.65703663588971</c:v>
                </c:pt>
                <c:pt idx="16">
                  <c:v>4.3319343583072438</c:v>
                </c:pt>
                <c:pt idx="17">
                  <c:v>5.4683864923101488</c:v>
                </c:pt>
                <c:pt idx="18">
                  <c:v>7.2272889016366006</c:v>
                </c:pt>
                <c:pt idx="19">
                  <c:v>7.084244013734355</c:v>
                </c:pt>
              </c:numCache>
            </c:numRef>
          </c:xVal>
          <c:yVal>
            <c:numRef>
              <c:f>'Sheet 1'!$AB$42:$AB$61</c:f>
              <c:numCache>
                <c:formatCode>0.0</c:formatCode>
                <c:ptCount val="20"/>
                <c:pt idx="0">
                  <c:v>3.3099888476001524</c:v>
                </c:pt>
                <c:pt idx="1">
                  <c:v>-0.79273838181245537</c:v>
                </c:pt>
                <c:pt idx="2">
                  <c:v>2.6939016646305163</c:v>
                </c:pt>
                <c:pt idx="3">
                  <c:v>2.8203743654722757</c:v>
                </c:pt>
                <c:pt idx="4">
                  <c:v>0.56944811054802358</c:v>
                </c:pt>
                <c:pt idx="5">
                  <c:v>5.1554842520708917</c:v>
                </c:pt>
                <c:pt idx="6">
                  <c:v>0.9550197531888216</c:v>
                </c:pt>
                <c:pt idx="7">
                  <c:v>3.3742217213277854</c:v>
                </c:pt>
                <c:pt idx="8">
                  <c:v>1.3332720823723321</c:v>
                </c:pt>
                <c:pt idx="9">
                  <c:v>-2.3866265120318531</c:v>
                </c:pt>
                <c:pt idx="10">
                  <c:v>8.488592900419917</c:v>
                </c:pt>
                <c:pt idx="11">
                  <c:v>3.4832195319861512</c:v>
                </c:pt>
                <c:pt idx="12">
                  <c:v>-1.924435858544939</c:v>
                </c:pt>
                <c:pt idx="13">
                  <c:v>4.287987322413187</c:v>
                </c:pt>
                <c:pt idx="14">
                  <c:v>1.2437157648506627</c:v>
                </c:pt>
                <c:pt idx="15">
                  <c:v>-1.9039386031145114</c:v>
                </c:pt>
                <c:pt idx="16">
                  <c:v>-0.56357684805470853</c:v>
                </c:pt>
                <c:pt idx="17">
                  <c:v>1.3348326149989589</c:v>
                </c:pt>
                <c:pt idx="18">
                  <c:v>-2.6102377031907054</c:v>
                </c:pt>
                <c:pt idx="19">
                  <c:v>-0.95853701380417533</c:v>
                </c:pt>
              </c:numCache>
            </c:numRef>
          </c:yVal>
          <c:smooth val="0"/>
        </c:ser>
        <c:ser>
          <c:idx val="1"/>
          <c:order val="1"/>
          <c:tx>
            <c:strRef>
              <c:f>'Sheet 1'!$B$73</c:f>
              <c:strCache>
                <c:ptCount val="1"/>
                <c:pt idx="0">
                  <c:v>Exptal</c:v>
                </c:pt>
              </c:strCache>
            </c:strRef>
          </c:tx>
          <c:spPr>
            <a:ln w="28575">
              <a:noFill/>
            </a:ln>
          </c:spPr>
          <c:marker>
            <c:symbol val="triangle"/>
            <c:size val="6"/>
            <c:spPr>
              <a:solidFill>
                <a:srgbClr val="FF0000"/>
              </a:solidFill>
              <a:ln>
                <a:solidFill>
                  <a:srgbClr val="000000"/>
                </a:solidFill>
                <a:prstDash val="solid"/>
              </a:ln>
            </c:spPr>
          </c:marker>
          <c:trendline>
            <c:name>Exptal</c:name>
            <c:spPr>
              <a:ln w="25400">
                <a:solidFill>
                  <a:srgbClr val="FF0000"/>
                </a:solidFill>
                <a:prstDash val="solid"/>
              </a:ln>
            </c:spPr>
            <c:trendlineType val="linear"/>
            <c:dispRSqr val="0"/>
            <c:dispEq val="0"/>
          </c:trendline>
          <c:xVal>
            <c:numRef>
              <c:f>'Sheet 1'!$T$73:$T$92</c:f>
              <c:numCache>
                <c:formatCode>General</c:formatCode>
                <c:ptCount val="20"/>
                <c:pt idx="0">
                  <c:v>13.776209008775542</c:v>
                </c:pt>
                <c:pt idx="1">
                  <c:v>11.007148422869262</c:v>
                </c:pt>
                <c:pt idx="2">
                  <c:v>11.384459813783169</c:v>
                </c:pt>
                <c:pt idx="3">
                  <c:v>10.772839822582032</c:v>
                </c:pt>
                <c:pt idx="4">
                  <c:v>6.1670195648881609</c:v>
                </c:pt>
                <c:pt idx="5">
                  <c:v>3.0700081084607245</c:v>
                </c:pt>
                <c:pt idx="6">
                  <c:v>6.0266561785287349</c:v>
                </c:pt>
                <c:pt idx="7">
                  <c:v>8.5795952343946524</c:v>
                </c:pt>
                <c:pt idx="8">
                  <c:v>10.271094847436206</c:v>
                </c:pt>
                <c:pt idx="9">
                  <c:v>3.2439257981571377</c:v>
                </c:pt>
                <c:pt idx="10">
                  <c:v>9.0452455283301205</c:v>
                </c:pt>
                <c:pt idx="11">
                  <c:v>10.485463397837401</c:v>
                </c:pt>
                <c:pt idx="12">
                  <c:v>6.2053919306283118</c:v>
                </c:pt>
                <c:pt idx="13">
                  <c:v>10.043285995156898</c:v>
                </c:pt>
                <c:pt idx="14">
                  <c:v>8.0160458643810895</c:v>
                </c:pt>
                <c:pt idx="15">
                  <c:v>5.9277811672944249</c:v>
                </c:pt>
                <c:pt idx="16">
                  <c:v>9.3916550088212816</c:v>
                </c:pt>
                <c:pt idx="17">
                  <c:v>11.545166159440665</c:v>
                </c:pt>
                <c:pt idx="18">
                  <c:v>13.182162714473208</c:v>
                </c:pt>
                <c:pt idx="19">
                  <c:v>10.074882480221746</c:v>
                </c:pt>
              </c:numCache>
            </c:numRef>
          </c:xVal>
          <c:yVal>
            <c:numRef>
              <c:f>'Sheet 1'!$AB$73:$AB$92</c:f>
              <c:numCache>
                <c:formatCode>0.0</c:formatCode>
                <c:ptCount val="20"/>
                <c:pt idx="0">
                  <c:v>-3.7368229480490527</c:v>
                </c:pt>
                <c:pt idx="1">
                  <c:v>1.9135888445464388</c:v>
                </c:pt>
                <c:pt idx="2">
                  <c:v>4.6278885416214735</c:v>
                </c:pt>
                <c:pt idx="3">
                  <c:v>2.8973525639233912</c:v>
                </c:pt>
                <c:pt idx="4">
                  <c:v>7.1869210815729048</c:v>
                </c:pt>
                <c:pt idx="5">
                  <c:v>-1.6942779782842763</c:v>
                </c:pt>
                <c:pt idx="6">
                  <c:v>4.1804440235440552</c:v>
                </c:pt>
                <c:pt idx="7">
                  <c:v>3.8800934210441937</c:v>
                </c:pt>
                <c:pt idx="8">
                  <c:v>-3.2114046973129007</c:v>
                </c:pt>
                <c:pt idx="9">
                  <c:v>9.8787545708050857</c:v>
                </c:pt>
                <c:pt idx="10">
                  <c:v>2.6764387291984804</c:v>
                </c:pt>
                <c:pt idx="11">
                  <c:v>-1.7122584713904416</c:v>
                </c:pt>
                <c:pt idx="12">
                  <c:v>7.8891476287018349</c:v>
                </c:pt>
                <c:pt idx="13">
                  <c:v>8.0596321049042672</c:v>
                </c:pt>
                <c:pt idx="14">
                  <c:v>3.8335350243232824</c:v>
                </c:pt>
                <c:pt idx="15">
                  <c:v>2.8227085849838431</c:v>
                </c:pt>
                <c:pt idx="16">
                  <c:v>4.592066326225904</c:v>
                </c:pt>
                <c:pt idx="17">
                  <c:v>0.79543955694111901</c:v>
                </c:pt>
                <c:pt idx="18">
                  <c:v>2.5279072787508312</c:v>
                </c:pt>
                <c:pt idx="19">
                  <c:v>4.0787141091676631</c:v>
                </c:pt>
              </c:numCache>
            </c:numRef>
          </c:yVal>
          <c:smooth val="0"/>
        </c:ser>
        <c:ser>
          <c:idx val="2"/>
          <c:order val="2"/>
          <c:tx>
            <c:v>Value of X</c:v>
          </c:tx>
          <c:spPr>
            <a:ln w="12700">
              <a:solidFill>
                <a:srgbClr val="000000"/>
              </a:solidFill>
              <a:prstDash val="sysDash"/>
            </a:ln>
          </c:spPr>
          <c:marker>
            <c:symbol val="none"/>
          </c:marker>
          <c:xVal>
            <c:numRef>
              <c:f>'Sheet 1'!$Z$108:$Z$109</c:f>
              <c:numCache>
                <c:formatCode>0.00</c:formatCode>
                <c:ptCount val="2"/>
                <c:pt idx="0">
                  <c:v>0</c:v>
                </c:pt>
                <c:pt idx="1">
                  <c:v>0</c:v>
                </c:pt>
              </c:numCache>
            </c:numRef>
          </c:xVal>
          <c:yVal>
            <c:numRef>
              <c:f>'Sheet 1'!$AB$106:$AB$107</c:f>
              <c:numCache>
                <c:formatCode>0.00</c:formatCode>
                <c:ptCount val="2"/>
                <c:pt idx="0">
                  <c:v>9.8787545708050857</c:v>
                </c:pt>
                <c:pt idx="1">
                  <c:v>-3.7368229480490527</c:v>
                </c:pt>
              </c:numCache>
            </c:numRef>
          </c:yVal>
          <c:smooth val="0"/>
        </c:ser>
        <c:dLbls>
          <c:showLegendKey val="0"/>
          <c:showVal val="0"/>
          <c:showCatName val="0"/>
          <c:showSerName val="0"/>
          <c:showPercent val="0"/>
          <c:showBubbleSize val="0"/>
        </c:dLbls>
        <c:axId val="277197952"/>
        <c:axId val="277199872"/>
      </c:scatterChart>
      <c:valAx>
        <c:axId val="277197952"/>
        <c:scaling>
          <c:orientation val="minMax"/>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X</a:t>
                </a:r>
              </a:p>
            </c:rich>
          </c:tx>
          <c:layout>
            <c:manualLayout>
              <c:xMode val="edge"/>
              <c:yMode val="edge"/>
              <c:x val="0.5375505754088431"/>
              <c:y val="0.8695652727875035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277199872"/>
        <c:crosses val="autoZero"/>
        <c:crossBetween val="midCat"/>
      </c:valAx>
      <c:valAx>
        <c:axId val="27719987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277197952"/>
        <c:crosses val="autoZero"/>
        <c:crossBetween val="midCat"/>
      </c:valAx>
      <c:spPr>
        <a:solidFill>
          <a:srgbClr val="FFFFFF"/>
        </a:solidFill>
        <a:ln w="12700">
          <a:solidFill>
            <a:srgbClr val="808080"/>
          </a:solidFill>
          <a:prstDash val="solid"/>
        </a:ln>
      </c:spPr>
    </c:plotArea>
    <c:legend>
      <c:legendPos val="r"/>
      <c:layout>
        <c:manualLayout>
          <c:xMode val="edge"/>
          <c:yMode val="edge"/>
          <c:x val="0.47449505350292748"/>
          <c:y val="2.2412064996729774E-2"/>
          <c:w val="0.48373874419543711"/>
          <c:h val="0.20170816026637448"/>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Narrow"/>
                <a:ea typeface="Arial Narrow"/>
                <a:cs typeface="Arial Narrow"/>
              </a:defRPr>
            </a:pPr>
            <a:r>
              <a:rPr lang="en-US"/>
              <a:t>Post2-Pre2</a:t>
            </a:r>
          </a:p>
        </c:rich>
      </c:tx>
      <c:layout>
        <c:manualLayout>
          <c:xMode val="edge"/>
          <c:yMode val="edge"/>
          <c:x val="1.9762971936200281E-2"/>
          <c:y val="8.333373962929555E-2"/>
        </c:manualLayout>
      </c:layout>
      <c:overlay val="0"/>
      <c:spPr>
        <a:noFill/>
        <a:ln w="25400">
          <a:noFill/>
        </a:ln>
      </c:spPr>
    </c:title>
    <c:autoTitleDeleted val="0"/>
    <c:plotArea>
      <c:layout>
        <c:manualLayout>
          <c:layoutTarget val="inner"/>
          <c:xMode val="edge"/>
          <c:yMode val="edge"/>
          <c:x val="0.15027982226601655"/>
          <c:y val="0.26316809767493482"/>
          <c:w val="0.80353700885094559"/>
          <c:h val="0.60929135657349032"/>
        </c:manualLayout>
      </c:layout>
      <c:scatterChart>
        <c:scatterStyle val="lineMarker"/>
        <c:varyColors val="0"/>
        <c:ser>
          <c:idx val="0"/>
          <c:order val="0"/>
          <c:tx>
            <c:strRef>
              <c:f>'Sheet 1'!$B$42</c:f>
              <c:strCache>
                <c:ptCount val="1"/>
                <c:pt idx="0">
                  <c:v>Control</c:v>
                </c:pt>
              </c:strCache>
            </c:strRef>
          </c:tx>
          <c:spPr>
            <a:ln w="28575">
              <a:noFill/>
            </a:ln>
          </c:spPr>
          <c:marker>
            <c:symbol val="circle"/>
            <c:size val="6"/>
            <c:spPr>
              <a:solidFill>
                <a:srgbClr val="3366FF"/>
              </a:solidFill>
              <a:ln>
                <a:solidFill>
                  <a:srgbClr val="000000"/>
                </a:solidFill>
                <a:prstDash val="solid"/>
              </a:ln>
            </c:spPr>
          </c:marker>
          <c:trendline>
            <c:name>Control</c:name>
            <c:spPr>
              <a:ln w="25400">
                <a:solidFill>
                  <a:srgbClr val="0000FF"/>
                </a:solidFill>
                <a:prstDash val="solid"/>
              </a:ln>
            </c:spPr>
            <c:trendlineType val="linear"/>
            <c:dispRSqr val="0"/>
            <c:dispEq val="0"/>
          </c:trendline>
          <c:xVal>
            <c:numRef>
              <c:f>'Sheet 1'!$T$42:$T$61</c:f>
              <c:numCache>
                <c:formatCode>General</c:formatCode>
                <c:ptCount val="20"/>
                <c:pt idx="0">
                  <c:v>6.7175377051765324</c:v>
                </c:pt>
                <c:pt idx="1">
                  <c:v>12.448248175011013</c:v>
                </c:pt>
                <c:pt idx="2">
                  <c:v>4.5211193081484939</c:v>
                </c:pt>
                <c:pt idx="3">
                  <c:v>8.2679289743212188</c:v>
                </c:pt>
                <c:pt idx="4">
                  <c:v>10.863284349957977</c:v>
                </c:pt>
                <c:pt idx="5">
                  <c:v>5.3635668190665875</c:v>
                </c:pt>
                <c:pt idx="6">
                  <c:v>8.8859934695136555</c:v>
                </c:pt>
                <c:pt idx="7">
                  <c:v>9.2311246047874587</c:v>
                </c:pt>
                <c:pt idx="8">
                  <c:v>5.8499177906865114</c:v>
                </c:pt>
                <c:pt idx="9">
                  <c:v>11.343867989039783</c:v>
                </c:pt>
                <c:pt idx="10">
                  <c:v>14.069884777911053</c:v>
                </c:pt>
                <c:pt idx="11">
                  <c:v>10.439691716577061</c:v>
                </c:pt>
                <c:pt idx="12">
                  <c:v>11.606240650890557</c:v>
                </c:pt>
                <c:pt idx="13">
                  <c:v>12.702293837857102</c:v>
                </c:pt>
                <c:pt idx="14">
                  <c:v>13.843325619119696</c:v>
                </c:pt>
                <c:pt idx="15">
                  <c:v>17.65703663588971</c:v>
                </c:pt>
                <c:pt idx="16">
                  <c:v>4.3319343583072438</c:v>
                </c:pt>
                <c:pt idx="17">
                  <c:v>5.4683864923101488</c:v>
                </c:pt>
                <c:pt idx="18">
                  <c:v>7.2272889016366006</c:v>
                </c:pt>
                <c:pt idx="19">
                  <c:v>7.084244013734355</c:v>
                </c:pt>
              </c:numCache>
            </c:numRef>
          </c:xVal>
          <c:yVal>
            <c:numRef>
              <c:f>'Sheet 1'!$AC$42:$AC$61</c:f>
              <c:numCache>
                <c:formatCode>0.0</c:formatCode>
                <c:ptCount val="20"/>
                <c:pt idx="0">
                  <c:v>3.5648279038215378</c:v>
                </c:pt>
                <c:pt idx="1">
                  <c:v>-0.18734416802431042</c:v>
                </c:pt>
                <c:pt idx="2">
                  <c:v>0.44184257989013531</c:v>
                </c:pt>
                <c:pt idx="3">
                  <c:v>-0.52574676870028725</c:v>
                </c:pt>
                <c:pt idx="4">
                  <c:v>5.0578530792906804</c:v>
                </c:pt>
                <c:pt idx="5">
                  <c:v>2.1198689507824611</c:v>
                </c:pt>
                <c:pt idx="6">
                  <c:v>4.9608916928463032</c:v>
                </c:pt>
                <c:pt idx="7">
                  <c:v>0.22887497336898832</c:v>
                </c:pt>
                <c:pt idx="8">
                  <c:v>1.9881618246821517</c:v>
                </c:pt>
                <c:pt idx="9">
                  <c:v>-1.3806230371436641</c:v>
                </c:pt>
                <c:pt idx="10">
                  <c:v>1.4340666595284119</c:v>
                </c:pt>
                <c:pt idx="11">
                  <c:v>0.13125738144231036</c:v>
                </c:pt>
                <c:pt idx="12">
                  <c:v>-0.37045808566324467</c:v>
                </c:pt>
                <c:pt idx="13">
                  <c:v>-3.8610506676915293</c:v>
                </c:pt>
                <c:pt idx="14">
                  <c:v>-0.631389818912794</c:v>
                </c:pt>
                <c:pt idx="15">
                  <c:v>-1.6707111660417695</c:v>
                </c:pt>
                <c:pt idx="16">
                  <c:v>0.47514706222887071</c:v>
                </c:pt>
                <c:pt idx="17">
                  <c:v>0.46600992454182233</c:v>
                </c:pt>
                <c:pt idx="18">
                  <c:v>-2.444487495412659</c:v>
                </c:pt>
                <c:pt idx="19">
                  <c:v>1.9081250402643946</c:v>
                </c:pt>
              </c:numCache>
            </c:numRef>
          </c:yVal>
          <c:smooth val="0"/>
        </c:ser>
        <c:ser>
          <c:idx val="1"/>
          <c:order val="1"/>
          <c:tx>
            <c:strRef>
              <c:f>'Sheet 1'!$B$73</c:f>
              <c:strCache>
                <c:ptCount val="1"/>
                <c:pt idx="0">
                  <c:v>Exptal</c:v>
                </c:pt>
              </c:strCache>
            </c:strRef>
          </c:tx>
          <c:spPr>
            <a:ln w="28575">
              <a:noFill/>
            </a:ln>
          </c:spPr>
          <c:marker>
            <c:symbol val="triangle"/>
            <c:size val="6"/>
            <c:spPr>
              <a:solidFill>
                <a:srgbClr val="FF0000"/>
              </a:solidFill>
              <a:ln>
                <a:solidFill>
                  <a:srgbClr val="000000"/>
                </a:solidFill>
                <a:prstDash val="solid"/>
              </a:ln>
            </c:spPr>
          </c:marker>
          <c:trendline>
            <c:name>Exptal</c:name>
            <c:spPr>
              <a:ln w="25400">
                <a:solidFill>
                  <a:srgbClr val="FF0000"/>
                </a:solidFill>
                <a:prstDash val="solid"/>
              </a:ln>
            </c:spPr>
            <c:trendlineType val="linear"/>
            <c:dispRSqr val="0"/>
            <c:dispEq val="0"/>
          </c:trendline>
          <c:xVal>
            <c:numRef>
              <c:f>'Sheet 1'!$T$73:$T$92</c:f>
              <c:numCache>
                <c:formatCode>General</c:formatCode>
                <c:ptCount val="20"/>
                <c:pt idx="0">
                  <c:v>13.776209008775542</c:v>
                </c:pt>
                <c:pt idx="1">
                  <c:v>11.007148422869262</c:v>
                </c:pt>
                <c:pt idx="2">
                  <c:v>11.384459813783169</c:v>
                </c:pt>
                <c:pt idx="3">
                  <c:v>10.772839822582032</c:v>
                </c:pt>
                <c:pt idx="4">
                  <c:v>6.1670195648881609</c:v>
                </c:pt>
                <c:pt idx="5">
                  <c:v>3.0700081084607245</c:v>
                </c:pt>
                <c:pt idx="6">
                  <c:v>6.0266561785287349</c:v>
                </c:pt>
                <c:pt idx="7">
                  <c:v>8.5795952343946524</c:v>
                </c:pt>
                <c:pt idx="8">
                  <c:v>10.271094847436206</c:v>
                </c:pt>
                <c:pt idx="9">
                  <c:v>3.2439257981571377</c:v>
                </c:pt>
                <c:pt idx="10">
                  <c:v>9.0452455283301205</c:v>
                </c:pt>
                <c:pt idx="11">
                  <c:v>10.485463397837401</c:v>
                </c:pt>
                <c:pt idx="12">
                  <c:v>6.2053919306283118</c:v>
                </c:pt>
                <c:pt idx="13">
                  <c:v>10.043285995156898</c:v>
                </c:pt>
                <c:pt idx="14">
                  <c:v>8.0160458643810895</c:v>
                </c:pt>
                <c:pt idx="15">
                  <c:v>5.9277811672944249</c:v>
                </c:pt>
                <c:pt idx="16">
                  <c:v>9.3916550088212816</c:v>
                </c:pt>
                <c:pt idx="17">
                  <c:v>11.545166159440665</c:v>
                </c:pt>
                <c:pt idx="18">
                  <c:v>13.182162714473208</c:v>
                </c:pt>
                <c:pt idx="19">
                  <c:v>10.074882480221746</c:v>
                </c:pt>
              </c:numCache>
            </c:numRef>
          </c:xVal>
          <c:yVal>
            <c:numRef>
              <c:f>'Sheet 1'!$AC$73:$AC$92</c:f>
              <c:numCache>
                <c:formatCode>0.0</c:formatCode>
                <c:ptCount val="20"/>
                <c:pt idx="0">
                  <c:v>-8.3038784699145936</c:v>
                </c:pt>
                <c:pt idx="1">
                  <c:v>7.459729660220205</c:v>
                </c:pt>
                <c:pt idx="2">
                  <c:v>2.5900417980599286</c:v>
                </c:pt>
                <c:pt idx="3">
                  <c:v>2.8971744869397753</c:v>
                </c:pt>
                <c:pt idx="4">
                  <c:v>4.8813086053913821</c:v>
                </c:pt>
                <c:pt idx="5">
                  <c:v>2.5793462616699117</c:v>
                </c:pt>
                <c:pt idx="6">
                  <c:v>1.2810068208951861</c:v>
                </c:pt>
                <c:pt idx="7">
                  <c:v>-4.710231687135547</c:v>
                </c:pt>
                <c:pt idx="8">
                  <c:v>-0.4239776975073255</c:v>
                </c:pt>
                <c:pt idx="9">
                  <c:v>9.650900092576876</c:v>
                </c:pt>
                <c:pt idx="10">
                  <c:v>-2.6557467446334613</c:v>
                </c:pt>
                <c:pt idx="11">
                  <c:v>-1.6074997481773607</c:v>
                </c:pt>
                <c:pt idx="12">
                  <c:v>3.5583632109819519</c:v>
                </c:pt>
                <c:pt idx="13">
                  <c:v>-0.97542529055920113</c:v>
                </c:pt>
                <c:pt idx="14">
                  <c:v>0.47912834046292119</c:v>
                </c:pt>
                <c:pt idx="15">
                  <c:v>4.6927204868910621</c:v>
                </c:pt>
                <c:pt idx="16">
                  <c:v>6.2663375830810537</c:v>
                </c:pt>
                <c:pt idx="17">
                  <c:v>4.5575611900801505</c:v>
                </c:pt>
                <c:pt idx="18">
                  <c:v>-4.8145456489287426</c:v>
                </c:pt>
                <c:pt idx="19">
                  <c:v>5.2350081360084459</c:v>
                </c:pt>
              </c:numCache>
            </c:numRef>
          </c:yVal>
          <c:smooth val="0"/>
        </c:ser>
        <c:ser>
          <c:idx val="2"/>
          <c:order val="2"/>
          <c:tx>
            <c:v>Value of X</c:v>
          </c:tx>
          <c:spPr>
            <a:ln w="12700">
              <a:solidFill>
                <a:srgbClr val="000000"/>
              </a:solidFill>
              <a:prstDash val="sysDash"/>
            </a:ln>
          </c:spPr>
          <c:marker>
            <c:symbol val="none"/>
          </c:marker>
          <c:xVal>
            <c:numRef>
              <c:f>'Sheet 1'!$Z$108:$Z$109</c:f>
              <c:numCache>
                <c:formatCode>0.00</c:formatCode>
                <c:ptCount val="2"/>
                <c:pt idx="0">
                  <c:v>0</c:v>
                </c:pt>
                <c:pt idx="1">
                  <c:v>0</c:v>
                </c:pt>
              </c:numCache>
            </c:numRef>
          </c:xVal>
          <c:yVal>
            <c:numRef>
              <c:f>'Sheet 1'!$AC$106:$AC$107</c:f>
              <c:numCache>
                <c:formatCode>0.00</c:formatCode>
                <c:ptCount val="2"/>
                <c:pt idx="0">
                  <c:v>9.650900092576876</c:v>
                </c:pt>
                <c:pt idx="1">
                  <c:v>-8.3038784699145936</c:v>
                </c:pt>
              </c:numCache>
            </c:numRef>
          </c:yVal>
          <c:smooth val="0"/>
        </c:ser>
        <c:dLbls>
          <c:showLegendKey val="0"/>
          <c:showVal val="0"/>
          <c:showCatName val="0"/>
          <c:showSerName val="0"/>
          <c:showPercent val="0"/>
          <c:showBubbleSize val="0"/>
        </c:dLbls>
        <c:axId val="63928192"/>
        <c:axId val="63930368"/>
      </c:scatterChart>
      <c:valAx>
        <c:axId val="63928192"/>
        <c:scaling>
          <c:orientation val="minMax"/>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X</a:t>
                </a:r>
              </a:p>
            </c:rich>
          </c:tx>
          <c:layout>
            <c:manualLayout>
              <c:xMode val="edge"/>
              <c:yMode val="edge"/>
              <c:x val="0.53359781950333129"/>
              <c:y val="0.8863667389873479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63930368"/>
        <c:crosses val="autoZero"/>
        <c:crossBetween val="midCat"/>
      </c:valAx>
      <c:valAx>
        <c:axId val="6393036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63928192"/>
        <c:crosses val="autoZero"/>
        <c:crossBetween val="midCat"/>
      </c:valAx>
      <c:spPr>
        <a:solidFill>
          <a:srgbClr val="FFFFFF"/>
        </a:solidFill>
        <a:ln w="12700">
          <a:solidFill>
            <a:srgbClr val="808080"/>
          </a:solidFill>
          <a:prstDash val="solid"/>
        </a:ln>
      </c:spPr>
    </c:plotArea>
    <c:legend>
      <c:legendPos val="r"/>
      <c:layout>
        <c:manualLayout>
          <c:xMode val="edge"/>
          <c:yMode val="edge"/>
          <c:x val="0.46525176660609735"/>
          <c:y val="4.3117346399811476E-2"/>
          <c:w val="0.49914435695538062"/>
          <c:h val="0.18109342369355536"/>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Narrow"/>
                <a:ea typeface="Arial Narrow"/>
                <a:cs typeface="Arial Narrow"/>
              </a:defRPr>
            </a:pPr>
            <a:r>
              <a:rPr lang="en-US"/>
              <a:t>Post2-Post1</a:t>
            </a:r>
          </a:p>
        </c:rich>
      </c:tx>
      <c:layout>
        <c:manualLayout>
          <c:xMode val="edge"/>
          <c:yMode val="edge"/>
          <c:x val="1.9762971936200281E-2"/>
          <c:y val="8.6956393312572267E-2"/>
        </c:manualLayout>
      </c:layout>
      <c:overlay val="0"/>
      <c:spPr>
        <a:noFill/>
        <a:ln w="25400">
          <a:noFill/>
        </a:ln>
      </c:spPr>
    </c:title>
    <c:autoTitleDeleted val="0"/>
    <c:plotArea>
      <c:layout>
        <c:manualLayout>
          <c:layoutTarget val="inner"/>
          <c:xMode val="edge"/>
          <c:yMode val="edge"/>
          <c:x val="0.15027982226601655"/>
          <c:y val="0.30020831989140151"/>
          <c:w val="0.80353700885094559"/>
          <c:h val="0.55251105682140922"/>
        </c:manualLayout>
      </c:layout>
      <c:scatterChart>
        <c:scatterStyle val="lineMarker"/>
        <c:varyColors val="0"/>
        <c:ser>
          <c:idx val="0"/>
          <c:order val="0"/>
          <c:tx>
            <c:strRef>
              <c:f>'Sheet 1'!$B$42</c:f>
              <c:strCache>
                <c:ptCount val="1"/>
                <c:pt idx="0">
                  <c:v>Control</c:v>
                </c:pt>
              </c:strCache>
            </c:strRef>
          </c:tx>
          <c:spPr>
            <a:ln w="28575">
              <a:noFill/>
            </a:ln>
          </c:spPr>
          <c:marker>
            <c:symbol val="circle"/>
            <c:size val="6"/>
            <c:spPr>
              <a:solidFill>
                <a:srgbClr val="3366FF"/>
              </a:solidFill>
              <a:ln>
                <a:solidFill>
                  <a:srgbClr val="000000"/>
                </a:solidFill>
                <a:prstDash val="solid"/>
              </a:ln>
            </c:spPr>
          </c:marker>
          <c:trendline>
            <c:name>Control</c:name>
            <c:spPr>
              <a:ln w="25400">
                <a:solidFill>
                  <a:srgbClr val="0000FF"/>
                </a:solidFill>
                <a:prstDash val="solid"/>
              </a:ln>
            </c:spPr>
            <c:trendlineType val="linear"/>
            <c:dispRSqr val="0"/>
            <c:dispEq val="0"/>
          </c:trendline>
          <c:xVal>
            <c:numRef>
              <c:f>'Sheet 1'!$T$42:$T$61</c:f>
              <c:numCache>
                <c:formatCode>General</c:formatCode>
                <c:ptCount val="20"/>
                <c:pt idx="0">
                  <c:v>6.7175377051765324</c:v>
                </c:pt>
                <c:pt idx="1">
                  <c:v>12.448248175011013</c:v>
                </c:pt>
                <c:pt idx="2">
                  <c:v>4.5211193081484939</c:v>
                </c:pt>
                <c:pt idx="3">
                  <c:v>8.2679289743212188</c:v>
                </c:pt>
                <c:pt idx="4">
                  <c:v>10.863284349957977</c:v>
                </c:pt>
                <c:pt idx="5">
                  <c:v>5.3635668190665875</c:v>
                </c:pt>
                <c:pt idx="6">
                  <c:v>8.8859934695136555</c:v>
                </c:pt>
                <c:pt idx="7">
                  <c:v>9.2311246047874587</c:v>
                </c:pt>
                <c:pt idx="8">
                  <c:v>5.8499177906865114</c:v>
                </c:pt>
                <c:pt idx="9">
                  <c:v>11.343867989039783</c:v>
                </c:pt>
                <c:pt idx="10">
                  <c:v>14.069884777911053</c:v>
                </c:pt>
                <c:pt idx="11">
                  <c:v>10.439691716577061</c:v>
                </c:pt>
                <c:pt idx="12">
                  <c:v>11.606240650890557</c:v>
                </c:pt>
                <c:pt idx="13">
                  <c:v>12.702293837857102</c:v>
                </c:pt>
                <c:pt idx="14">
                  <c:v>13.843325619119696</c:v>
                </c:pt>
                <c:pt idx="15">
                  <c:v>17.65703663588971</c:v>
                </c:pt>
                <c:pt idx="16">
                  <c:v>4.3319343583072438</c:v>
                </c:pt>
                <c:pt idx="17">
                  <c:v>5.4683864923101488</c:v>
                </c:pt>
                <c:pt idx="18">
                  <c:v>7.2272889016366006</c:v>
                </c:pt>
                <c:pt idx="19">
                  <c:v>7.084244013734355</c:v>
                </c:pt>
              </c:numCache>
            </c:numRef>
          </c:xVal>
          <c:yVal>
            <c:numRef>
              <c:f>'Sheet 1'!$AD$42:$AD$61</c:f>
              <c:numCache>
                <c:formatCode>0.0</c:formatCode>
                <c:ptCount val="20"/>
                <c:pt idx="0">
                  <c:v>0.25483905622138536</c:v>
                </c:pt>
                <c:pt idx="1">
                  <c:v>0.60539421378814495</c:v>
                </c:pt>
                <c:pt idx="2">
                  <c:v>-2.252059084740381</c:v>
                </c:pt>
                <c:pt idx="3">
                  <c:v>-3.346121134172563</c:v>
                </c:pt>
                <c:pt idx="4">
                  <c:v>4.4884049687426568</c:v>
                </c:pt>
                <c:pt idx="5">
                  <c:v>-3.0356153012884306</c:v>
                </c:pt>
                <c:pt idx="6">
                  <c:v>4.0058719396574816</c:v>
                </c:pt>
                <c:pt idx="7">
                  <c:v>-3.1453467479587971</c:v>
                </c:pt>
                <c:pt idx="8">
                  <c:v>0.65488974230981967</c:v>
                </c:pt>
                <c:pt idx="9">
                  <c:v>1.006003474888189</c:v>
                </c:pt>
                <c:pt idx="10">
                  <c:v>-7.054526240891505</c:v>
                </c:pt>
                <c:pt idx="11">
                  <c:v>-3.3519621505438408</c:v>
                </c:pt>
                <c:pt idx="12">
                  <c:v>1.5539777728816944</c:v>
                </c:pt>
                <c:pt idx="13">
                  <c:v>-8.1490379901047163</c:v>
                </c:pt>
                <c:pt idx="14">
                  <c:v>-1.8751055837634567</c:v>
                </c:pt>
                <c:pt idx="15">
                  <c:v>0.23322743707274185</c:v>
                </c:pt>
                <c:pt idx="16">
                  <c:v>1.0387239102835792</c:v>
                </c:pt>
                <c:pt idx="17">
                  <c:v>-0.86882269045713656</c:v>
                </c:pt>
                <c:pt idx="18">
                  <c:v>0.16575020777804639</c:v>
                </c:pt>
                <c:pt idx="19">
                  <c:v>2.8666620540685699</c:v>
                </c:pt>
              </c:numCache>
            </c:numRef>
          </c:yVal>
          <c:smooth val="0"/>
        </c:ser>
        <c:ser>
          <c:idx val="1"/>
          <c:order val="1"/>
          <c:tx>
            <c:strRef>
              <c:f>'Sheet 1'!$B$73</c:f>
              <c:strCache>
                <c:ptCount val="1"/>
                <c:pt idx="0">
                  <c:v>Exptal</c:v>
                </c:pt>
              </c:strCache>
            </c:strRef>
          </c:tx>
          <c:spPr>
            <a:ln w="28575">
              <a:noFill/>
            </a:ln>
          </c:spPr>
          <c:marker>
            <c:symbol val="triangle"/>
            <c:size val="6"/>
            <c:spPr>
              <a:solidFill>
                <a:srgbClr val="FF0000"/>
              </a:solidFill>
              <a:ln>
                <a:solidFill>
                  <a:srgbClr val="000000"/>
                </a:solidFill>
                <a:prstDash val="solid"/>
              </a:ln>
            </c:spPr>
          </c:marker>
          <c:trendline>
            <c:name>Exptal</c:name>
            <c:spPr>
              <a:ln w="25400">
                <a:solidFill>
                  <a:srgbClr val="FF0000"/>
                </a:solidFill>
                <a:prstDash val="solid"/>
              </a:ln>
            </c:spPr>
            <c:trendlineType val="linear"/>
            <c:dispRSqr val="0"/>
            <c:dispEq val="0"/>
          </c:trendline>
          <c:xVal>
            <c:numRef>
              <c:f>'Sheet 1'!$T$73:$T$92</c:f>
              <c:numCache>
                <c:formatCode>General</c:formatCode>
                <c:ptCount val="20"/>
                <c:pt idx="0">
                  <c:v>13.776209008775542</c:v>
                </c:pt>
                <c:pt idx="1">
                  <c:v>11.007148422869262</c:v>
                </c:pt>
                <c:pt idx="2">
                  <c:v>11.384459813783169</c:v>
                </c:pt>
                <c:pt idx="3">
                  <c:v>10.772839822582032</c:v>
                </c:pt>
                <c:pt idx="4">
                  <c:v>6.1670195648881609</c:v>
                </c:pt>
                <c:pt idx="5">
                  <c:v>3.0700081084607245</c:v>
                </c:pt>
                <c:pt idx="6">
                  <c:v>6.0266561785287349</c:v>
                </c:pt>
                <c:pt idx="7">
                  <c:v>8.5795952343946524</c:v>
                </c:pt>
                <c:pt idx="8">
                  <c:v>10.271094847436206</c:v>
                </c:pt>
                <c:pt idx="9">
                  <c:v>3.2439257981571377</c:v>
                </c:pt>
                <c:pt idx="10">
                  <c:v>9.0452455283301205</c:v>
                </c:pt>
                <c:pt idx="11">
                  <c:v>10.485463397837401</c:v>
                </c:pt>
                <c:pt idx="12">
                  <c:v>6.2053919306283118</c:v>
                </c:pt>
                <c:pt idx="13">
                  <c:v>10.043285995156898</c:v>
                </c:pt>
                <c:pt idx="14">
                  <c:v>8.0160458643810895</c:v>
                </c:pt>
                <c:pt idx="15">
                  <c:v>5.9277811672944249</c:v>
                </c:pt>
                <c:pt idx="16">
                  <c:v>9.3916550088212816</c:v>
                </c:pt>
                <c:pt idx="17">
                  <c:v>11.545166159440665</c:v>
                </c:pt>
                <c:pt idx="18">
                  <c:v>13.182162714473208</c:v>
                </c:pt>
                <c:pt idx="19">
                  <c:v>10.074882480221746</c:v>
                </c:pt>
              </c:numCache>
            </c:numRef>
          </c:xVal>
          <c:yVal>
            <c:numRef>
              <c:f>'Sheet 1'!$AD$73:$AD$92</c:f>
              <c:numCache>
                <c:formatCode>0.0</c:formatCode>
                <c:ptCount val="20"/>
                <c:pt idx="0">
                  <c:v>-4.5670555218655409</c:v>
                </c:pt>
                <c:pt idx="1">
                  <c:v>5.5461408156737662</c:v>
                </c:pt>
                <c:pt idx="2">
                  <c:v>-2.0378467435615448</c:v>
                </c:pt>
                <c:pt idx="3">
                  <c:v>-1.7807698361593793E-4</c:v>
                </c:pt>
                <c:pt idx="4">
                  <c:v>-2.3056124761815227</c:v>
                </c:pt>
                <c:pt idx="5">
                  <c:v>4.2736242399541879</c:v>
                </c:pt>
                <c:pt idx="6">
                  <c:v>-2.8994372026488691</c:v>
                </c:pt>
                <c:pt idx="7">
                  <c:v>-8.5903251081797407</c:v>
                </c:pt>
                <c:pt idx="8">
                  <c:v>2.7874269998055752</c:v>
                </c:pt>
                <c:pt idx="9">
                  <c:v>-0.2278544782282097</c:v>
                </c:pt>
                <c:pt idx="10">
                  <c:v>-5.3321854738319416</c:v>
                </c:pt>
                <c:pt idx="11">
                  <c:v>0.10475872321308088</c:v>
                </c:pt>
                <c:pt idx="12">
                  <c:v>-4.3307844177198831</c:v>
                </c:pt>
                <c:pt idx="13">
                  <c:v>-9.0350573954634683</c:v>
                </c:pt>
                <c:pt idx="14">
                  <c:v>-3.3544066838603612</c:v>
                </c:pt>
                <c:pt idx="15">
                  <c:v>1.870011901907219</c:v>
                </c:pt>
                <c:pt idx="16">
                  <c:v>1.6742712568551497</c:v>
                </c:pt>
                <c:pt idx="17">
                  <c:v>3.7621216331390315</c:v>
                </c:pt>
                <c:pt idx="18">
                  <c:v>-7.3424529276795738</c:v>
                </c:pt>
                <c:pt idx="19">
                  <c:v>1.1562940268407829</c:v>
                </c:pt>
              </c:numCache>
            </c:numRef>
          </c:yVal>
          <c:smooth val="0"/>
        </c:ser>
        <c:ser>
          <c:idx val="2"/>
          <c:order val="2"/>
          <c:tx>
            <c:v>Value of X</c:v>
          </c:tx>
          <c:spPr>
            <a:ln w="12700">
              <a:solidFill>
                <a:srgbClr val="000000"/>
              </a:solidFill>
              <a:prstDash val="sysDash"/>
            </a:ln>
          </c:spPr>
          <c:marker>
            <c:symbol val="none"/>
          </c:marker>
          <c:xVal>
            <c:numRef>
              <c:f>'Sheet 1'!$Z$108:$Z$109</c:f>
              <c:numCache>
                <c:formatCode>0.00</c:formatCode>
                <c:ptCount val="2"/>
                <c:pt idx="0">
                  <c:v>0</c:v>
                </c:pt>
                <c:pt idx="1">
                  <c:v>0</c:v>
                </c:pt>
              </c:numCache>
            </c:numRef>
          </c:xVal>
          <c:yVal>
            <c:numRef>
              <c:f>'Sheet 1'!$AD$106:$AD$107</c:f>
              <c:numCache>
                <c:formatCode>0.00</c:formatCode>
                <c:ptCount val="2"/>
                <c:pt idx="0">
                  <c:v>5.5461408156737662</c:v>
                </c:pt>
                <c:pt idx="1">
                  <c:v>-9.0350573954634683</c:v>
                </c:pt>
              </c:numCache>
            </c:numRef>
          </c:yVal>
          <c:smooth val="0"/>
        </c:ser>
        <c:dLbls>
          <c:showLegendKey val="0"/>
          <c:showVal val="0"/>
          <c:showCatName val="0"/>
          <c:showSerName val="0"/>
          <c:showPercent val="0"/>
          <c:showBubbleSize val="0"/>
        </c:dLbls>
        <c:axId val="64036224"/>
        <c:axId val="64038400"/>
      </c:scatterChart>
      <c:valAx>
        <c:axId val="64036224"/>
        <c:scaling>
          <c:orientation val="minMax"/>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X</a:t>
                </a:r>
              </a:p>
            </c:rich>
          </c:tx>
          <c:layout>
            <c:manualLayout>
              <c:xMode val="edge"/>
              <c:yMode val="edge"/>
              <c:x val="0.5375505754088431"/>
              <c:y val="0.8695651990446532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64038400"/>
        <c:crosses val="autoZero"/>
        <c:crossBetween val="midCat"/>
      </c:valAx>
      <c:valAx>
        <c:axId val="6403840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64036224"/>
        <c:crosses val="autoZero"/>
        <c:crossBetween val="midCat"/>
      </c:valAx>
      <c:spPr>
        <a:solidFill>
          <a:srgbClr val="FFFFFF"/>
        </a:solidFill>
        <a:ln w="12700">
          <a:solidFill>
            <a:srgbClr val="808080"/>
          </a:solidFill>
          <a:prstDash val="solid"/>
        </a:ln>
      </c:spPr>
    </c:plotArea>
    <c:legend>
      <c:legendPos val="r"/>
      <c:layout>
        <c:manualLayout>
          <c:xMode val="edge"/>
          <c:yMode val="edge"/>
          <c:x val="0.30503250555219058"/>
          <c:y val="2.5797317939759139E-2"/>
          <c:w val="0.66860690490611763"/>
          <c:h val="0.20637812154509624"/>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sz="900" b="0" i="0" u="none" strike="noStrike" baseline="0">
                <a:solidFill>
                  <a:srgbClr val="000000"/>
                </a:solidFill>
                <a:latin typeface="Arial Narrow"/>
                <a:ea typeface="Arial Narrow"/>
                <a:cs typeface="Arial Narrow"/>
              </a:defRPr>
            </a:pPr>
            <a:r>
              <a:rPr lang="en-US"/>
              <a:t>Means and SDs</a:t>
            </a:r>
          </a:p>
        </c:rich>
      </c:tx>
      <c:layout>
        <c:manualLayout>
          <c:xMode val="edge"/>
          <c:yMode val="edge"/>
          <c:x val="1.968503937007874E-2"/>
          <c:y val="8.5366450753288858E-2"/>
        </c:manualLayout>
      </c:layout>
      <c:overlay val="0"/>
      <c:spPr>
        <a:noFill/>
        <a:ln w="25400">
          <a:noFill/>
        </a:ln>
      </c:spPr>
    </c:title>
    <c:autoTitleDeleted val="0"/>
    <c:plotArea>
      <c:layout>
        <c:manualLayout>
          <c:layoutTarget val="inner"/>
          <c:xMode val="edge"/>
          <c:yMode val="edge"/>
          <c:x val="0.18110236220472442"/>
          <c:y val="0.23170823690071179"/>
          <c:w val="0.79133858267716539"/>
          <c:h val="0.58943323422110894"/>
        </c:manualLayout>
      </c:layout>
      <c:scatterChart>
        <c:scatterStyle val="lineMarker"/>
        <c:varyColors val="0"/>
        <c:ser>
          <c:idx val="0"/>
          <c:order val="0"/>
          <c:tx>
            <c:strRef>
              <c:f>'Sheet 1'!$T$5</c:f>
              <c:strCache>
                <c:ptCount val="1"/>
                <c:pt idx="0">
                  <c:v>Control</c:v>
                </c:pt>
              </c:strCache>
            </c:strRef>
          </c:tx>
          <c:spPr>
            <a:ln w="3175">
              <a:solidFill>
                <a:srgbClr val="3366FF"/>
              </a:solidFill>
              <a:prstDash val="solid"/>
            </a:ln>
          </c:spPr>
          <c:marker>
            <c:symbol val="circle"/>
            <c:size val="6"/>
            <c:spPr>
              <a:solidFill>
                <a:srgbClr val="3366FF"/>
              </a:solidFill>
              <a:ln>
                <a:solidFill>
                  <a:srgbClr val="000000"/>
                </a:solidFill>
                <a:prstDash val="solid"/>
              </a:ln>
            </c:spPr>
          </c:marker>
          <c:errBars>
            <c:errDir val="y"/>
            <c:errBarType val="both"/>
            <c:errValType val="cust"/>
            <c:noEndCap val="0"/>
            <c:plus>
              <c:numRef>
                <c:f>'Sheet 1'!$U$8:$X$8</c:f>
                <c:numCache>
                  <c:formatCode>General</c:formatCode>
                  <c:ptCount val="4"/>
                  <c:pt idx="0">
                    <c:v>21.911795113465768</c:v>
                  </c:pt>
                  <c:pt idx="1">
                    <c:v>21.096269939867266</c:v>
                  </c:pt>
                  <c:pt idx="2">
                    <c:v>22.655244592733524</c:v>
                  </c:pt>
                  <c:pt idx="3">
                    <c:v>23.922583581514715</c:v>
                  </c:pt>
                </c:numCache>
              </c:numRef>
            </c:plus>
            <c:minus>
              <c:numRef>
                <c:f>'Sheet 1'!$U$9:$X$9</c:f>
                <c:numCache>
                  <c:formatCode>General</c:formatCode>
                  <c:ptCount val="4"/>
                  <c:pt idx="0">
                    <c:v>21.911795113465768</c:v>
                  </c:pt>
                  <c:pt idx="1">
                    <c:v>21.096269939867266</c:v>
                  </c:pt>
                  <c:pt idx="2">
                    <c:v>22.655244592733524</c:v>
                  </c:pt>
                  <c:pt idx="3">
                    <c:v>23.922583581514715</c:v>
                  </c:pt>
                </c:numCache>
              </c:numRef>
            </c:minus>
            <c:spPr>
              <a:ln w="12700">
                <a:solidFill>
                  <a:srgbClr val="000000"/>
                </a:solidFill>
                <a:prstDash val="solid"/>
              </a:ln>
            </c:spPr>
          </c:errBars>
          <c:xVal>
            <c:numRef>
              <c:f>'Sheet 1'!$U$6:$X$6</c:f>
              <c:numCache>
                <c:formatCode>General</c:formatCode>
                <c:ptCount val="4"/>
                <c:pt idx="0">
                  <c:v>0.95</c:v>
                </c:pt>
                <c:pt idx="1">
                  <c:v>1.95</c:v>
                </c:pt>
                <c:pt idx="2">
                  <c:v>2.95</c:v>
                </c:pt>
                <c:pt idx="3">
                  <c:v>3.95</c:v>
                </c:pt>
              </c:numCache>
            </c:numRef>
          </c:xVal>
          <c:yVal>
            <c:numRef>
              <c:f>'Sheet 1'!$U$7:$X$7</c:f>
              <c:numCache>
                <c:formatCode>0.00</c:formatCode>
                <c:ptCount val="4"/>
                <c:pt idx="0">
                  <c:v>403.74313992986185</c:v>
                </c:pt>
                <c:pt idx="1">
                  <c:v>405.97365972243381</c:v>
                </c:pt>
                <c:pt idx="2">
                  <c:v>411.75450913531449</c:v>
                </c:pt>
                <c:pt idx="3">
                  <c:v>408.49950272585806</c:v>
                </c:pt>
              </c:numCache>
            </c:numRef>
          </c:yVal>
          <c:smooth val="0"/>
        </c:ser>
        <c:ser>
          <c:idx val="1"/>
          <c:order val="1"/>
          <c:tx>
            <c:strRef>
              <c:f>'Sheet 1'!$T$10</c:f>
              <c:strCache>
                <c:ptCount val="1"/>
                <c:pt idx="0">
                  <c:v>Exptal</c:v>
                </c:pt>
              </c:strCache>
            </c:strRef>
          </c:tx>
          <c:spPr>
            <a:ln w="3175">
              <a:solidFill>
                <a:srgbClr val="FF0000"/>
              </a:solidFill>
              <a:prstDash val="solid"/>
            </a:ln>
          </c:spPr>
          <c:marker>
            <c:symbol val="triangle"/>
            <c:size val="6"/>
            <c:spPr>
              <a:solidFill>
                <a:srgbClr val="FF0000"/>
              </a:solidFill>
              <a:ln>
                <a:solidFill>
                  <a:srgbClr val="000000"/>
                </a:solidFill>
                <a:prstDash val="solid"/>
              </a:ln>
            </c:spPr>
          </c:marker>
          <c:errBars>
            <c:errDir val="y"/>
            <c:errBarType val="both"/>
            <c:errValType val="cust"/>
            <c:noEndCap val="0"/>
            <c:plus>
              <c:numRef>
                <c:f>'Sheet 1'!$U$13:$X$13</c:f>
                <c:numCache>
                  <c:formatCode>General</c:formatCode>
                  <c:ptCount val="4"/>
                  <c:pt idx="0">
                    <c:v>20.721381402404134</c:v>
                  </c:pt>
                  <c:pt idx="1">
                    <c:v>22.441585417311746</c:v>
                  </c:pt>
                  <c:pt idx="2">
                    <c:v>26.869218273256372</c:v>
                  </c:pt>
                  <c:pt idx="3">
                    <c:v>23.215835517433177</c:v>
                  </c:pt>
                </c:numCache>
              </c:numRef>
            </c:plus>
            <c:minus>
              <c:numRef>
                <c:f>'Sheet 1'!$U$14:$X$14</c:f>
                <c:numCache>
                  <c:formatCode>General</c:formatCode>
                  <c:ptCount val="4"/>
                  <c:pt idx="0">
                    <c:v>20.721381402404134</c:v>
                  </c:pt>
                  <c:pt idx="1">
                    <c:v>22.441585417311746</c:v>
                  </c:pt>
                  <c:pt idx="2">
                    <c:v>26.869218273256372</c:v>
                  </c:pt>
                  <c:pt idx="3">
                    <c:v>23.215835517433177</c:v>
                  </c:pt>
                </c:numCache>
              </c:numRef>
            </c:minus>
            <c:spPr>
              <a:ln w="12700">
                <a:solidFill>
                  <a:srgbClr val="000000"/>
                </a:solidFill>
                <a:prstDash val="solid"/>
              </a:ln>
            </c:spPr>
          </c:errBars>
          <c:xVal>
            <c:numRef>
              <c:f>'Sheet 1'!$U$11:$X$11</c:f>
              <c:numCache>
                <c:formatCode>General</c:formatCode>
                <c:ptCount val="4"/>
                <c:pt idx="0">
                  <c:v>1.05</c:v>
                </c:pt>
                <c:pt idx="1">
                  <c:v>2.0499999999999998</c:v>
                </c:pt>
                <c:pt idx="2">
                  <c:v>3.05</c:v>
                </c:pt>
                <c:pt idx="3">
                  <c:v>4.05</c:v>
                </c:pt>
              </c:numCache>
            </c:numRef>
          </c:xVal>
          <c:yVal>
            <c:numRef>
              <c:f>'Sheet 1'!$U$12:$X$12</c:f>
              <c:numCache>
                <c:formatCode>0.00</c:formatCode>
                <c:ptCount val="4"/>
                <c:pt idx="0">
                  <c:v>389.45913670632297</c:v>
                </c:pt>
                <c:pt idx="1">
                  <c:v>397.8758021121921</c:v>
                </c:pt>
                <c:pt idx="2">
                  <c:v>410.50745981472511</c:v>
                </c:pt>
                <c:pt idx="3">
                  <c:v>404.41741472444272</c:v>
                </c:pt>
              </c:numCache>
            </c:numRef>
          </c:yVal>
          <c:smooth val="0"/>
        </c:ser>
        <c:dLbls>
          <c:showLegendKey val="0"/>
          <c:showVal val="0"/>
          <c:showCatName val="0"/>
          <c:showSerName val="0"/>
          <c:showPercent val="0"/>
          <c:showBubbleSize val="0"/>
        </c:dLbls>
        <c:axId val="64056704"/>
        <c:axId val="64062976"/>
      </c:scatterChart>
      <c:valAx>
        <c:axId val="64056704"/>
        <c:scaling>
          <c:orientation val="minMax"/>
          <c:min val="0.5"/>
        </c:scaling>
        <c:delete val="0"/>
        <c:axPos val="b"/>
        <c:title>
          <c:tx>
            <c:rich>
              <a:bodyPr/>
              <a:lstStyle/>
              <a:p>
                <a:pPr>
                  <a:defRPr sz="900" b="0" i="0" u="none" strike="noStrike" baseline="0">
                    <a:solidFill>
                      <a:srgbClr val="000000"/>
                    </a:solidFill>
                    <a:latin typeface="Arial Narrow"/>
                    <a:ea typeface="Arial Narrow"/>
                    <a:cs typeface="Arial Narrow"/>
                  </a:defRPr>
                </a:pPr>
                <a:r>
                  <a:rPr lang="en-US"/>
                  <a:t>Trial</a:t>
                </a:r>
              </a:p>
            </c:rich>
          </c:tx>
          <c:layout>
            <c:manualLayout>
              <c:xMode val="edge"/>
              <c:yMode val="edge"/>
              <c:x val="0.53149606299212593"/>
              <c:y val="0.87805228474881014"/>
            </c:manualLayout>
          </c:layout>
          <c:overlay val="0"/>
          <c:spPr>
            <a:noFill/>
            <a:ln w="25400">
              <a:noFill/>
            </a:ln>
          </c:spPr>
        </c:title>
        <c:numFmt formatCode="General" sourceLinked="1"/>
        <c:majorTickMark val="out"/>
        <c:minorTickMark val="none"/>
        <c:tickLblPos val="none"/>
        <c:spPr>
          <a:ln w="3175">
            <a:solidFill>
              <a:srgbClr val="000000"/>
            </a:solidFill>
            <a:prstDash val="solid"/>
          </a:ln>
        </c:spPr>
        <c:crossAx val="64062976"/>
        <c:crosses val="autoZero"/>
        <c:crossBetween val="midCat"/>
      </c:valAx>
      <c:valAx>
        <c:axId val="64062976"/>
        <c:scaling>
          <c:orientation val="minMax"/>
        </c:scaling>
        <c:delete val="0"/>
        <c:axPos val="l"/>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Narrow"/>
                <a:ea typeface="Arial Narrow"/>
                <a:cs typeface="Arial Narrow"/>
              </a:defRPr>
            </a:pPr>
            <a:endParaRPr lang="en-US"/>
          </a:p>
        </c:txPr>
        <c:crossAx val="64056704"/>
        <c:crossesAt val="0.5"/>
        <c:crossBetween val="midCat"/>
      </c:valAx>
      <c:spPr>
        <a:solidFill>
          <a:srgbClr val="FFFFFF"/>
        </a:solidFill>
        <a:ln w="12700">
          <a:solidFill>
            <a:srgbClr val="808080"/>
          </a:solidFill>
          <a:prstDash val="solid"/>
        </a:ln>
      </c:spPr>
    </c:plotArea>
    <c:legend>
      <c:legendPos val="r"/>
      <c:layout>
        <c:manualLayout>
          <c:xMode val="edge"/>
          <c:yMode val="edge"/>
          <c:x val="0.56748466257668717"/>
          <c:y val="2.4464831804281346E-2"/>
          <c:w val="0.40490797546012269"/>
          <c:h val="0.14678899082568808"/>
        </c:manualLayout>
      </c:layout>
      <c:overlay val="0"/>
      <c:spPr>
        <a:solidFill>
          <a:srgbClr val="FFFFFF"/>
        </a:solidFill>
        <a:ln w="3175">
          <a:solidFill>
            <a:srgbClr val="000000"/>
          </a:solidFill>
          <a:prstDash val="solid"/>
        </a:ln>
      </c:spPr>
      <c:txPr>
        <a:bodyPr/>
        <a:lstStyle/>
        <a:p>
          <a:pPr>
            <a:defRPr sz="690"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solidFill>
      <a:srgbClr val="C0C0C0"/>
    </a:solidFill>
    <a:ln w="3175">
      <a:solidFill>
        <a:srgbClr val="000000"/>
      </a:solidFill>
      <a:prstDash val="solid"/>
    </a:ln>
  </c:spPr>
  <c:txPr>
    <a:bodyPr/>
    <a:lstStyle/>
    <a:p>
      <a:pPr>
        <a:defRPr sz="900" b="0" i="0" u="none" strike="noStrike" baseline="0">
          <a:solidFill>
            <a:srgbClr val="000000"/>
          </a:solidFill>
          <a:latin typeface="Arial Narrow"/>
          <a:ea typeface="Arial Narrow"/>
          <a:cs typeface="Arial Narrow"/>
        </a:defRPr>
      </a:pPr>
      <a:endParaRPr lang="en-US"/>
    </a:p>
  </c:txPr>
  <c:printSettings>
    <c:headerFooter alignWithMargins="0"/>
    <c:pageMargins b="1" l="0.75" r="0.75" t="1" header="0.5" footer="0.5"/>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15</xdr:col>
      <xdr:colOff>38100</xdr:colOff>
      <xdr:row>92</xdr:row>
      <xdr:rowOff>121920</xdr:rowOff>
    </xdr:from>
    <xdr:to>
      <xdr:col>15</xdr:col>
      <xdr:colOff>2514600</xdr:colOff>
      <xdr:row>106</xdr:row>
      <xdr:rowOff>68580</xdr:rowOff>
    </xdr:to>
    <xdr:graphicFrame macro="">
      <xdr:nvGraphicFramePr>
        <xdr:cNvPr id="838536"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38100</xdr:colOff>
      <xdr:row>106</xdr:row>
      <xdr:rowOff>144780</xdr:rowOff>
    </xdr:from>
    <xdr:to>
      <xdr:col>15</xdr:col>
      <xdr:colOff>2514600</xdr:colOff>
      <xdr:row>120</xdr:row>
      <xdr:rowOff>152400</xdr:rowOff>
    </xdr:to>
    <xdr:graphicFrame macro="">
      <xdr:nvGraphicFramePr>
        <xdr:cNvPr id="838537"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38100</xdr:colOff>
      <xdr:row>121</xdr:row>
      <xdr:rowOff>129540</xdr:rowOff>
    </xdr:from>
    <xdr:to>
      <xdr:col>15</xdr:col>
      <xdr:colOff>2514600</xdr:colOff>
      <xdr:row>133</xdr:row>
      <xdr:rowOff>106680</xdr:rowOff>
    </xdr:to>
    <xdr:graphicFrame macro="">
      <xdr:nvGraphicFramePr>
        <xdr:cNvPr id="838538"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30480</xdr:colOff>
      <xdr:row>134</xdr:row>
      <xdr:rowOff>83820</xdr:rowOff>
    </xdr:from>
    <xdr:to>
      <xdr:col>15</xdr:col>
      <xdr:colOff>2506980</xdr:colOff>
      <xdr:row>142</xdr:row>
      <xdr:rowOff>7620</xdr:rowOff>
    </xdr:to>
    <xdr:graphicFrame macro="">
      <xdr:nvGraphicFramePr>
        <xdr:cNvPr id="838539" name="Chart 1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31</xdr:col>
      <xdr:colOff>38100</xdr:colOff>
      <xdr:row>92</xdr:row>
      <xdr:rowOff>144780</xdr:rowOff>
    </xdr:from>
    <xdr:to>
      <xdr:col>31</xdr:col>
      <xdr:colOff>2514600</xdr:colOff>
      <xdr:row>106</xdr:row>
      <xdr:rowOff>106680</xdr:rowOff>
    </xdr:to>
    <xdr:graphicFrame macro="">
      <xdr:nvGraphicFramePr>
        <xdr:cNvPr id="838540" name="Chart 1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31</xdr:col>
      <xdr:colOff>38100</xdr:colOff>
      <xdr:row>107</xdr:row>
      <xdr:rowOff>30480</xdr:rowOff>
    </xdr:from>
    <xdr:to>
      <xdr:col>31</xdr:col>
      <xdr:colOff>2514600</xdr:colOff>
      <xdr:row>121</xdr:row>
      <xdr:rowOff>38100</xdr:rowOff>
    </xdr:to>
    <xdr:graphicFrame macro="">
      <xdr:nvGraphicFramePr>
        <xdr:cNvPr id="838541" name="Chart 1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31</xdr:col>
      <xdr:colOff>38100</xdr:colOff>
      <xdr:row>122</xdr:row>
      <xdr:rowOff>0</xdr:rowOff>
    </xdr:from>
    <xdr:to>
      <xdr:col>31</xdr:col>
      <xdr:colOff>2514600</xdr:colOff>
      <xdr:row>135</xdr:row>
      <xdr:rowOff>106680</xdr:rowOff>
    </xdr:to>
    <xdr:graphicFrame macro="">
      <xdr:nvGraphicFramePr>
        <xdr:cNvPr id="838542" name="Chart 1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31</xdr:col>
      <xdr:colOff>38100</xdr:colOff>
      <xdr:row>135</xdr:row>
      <xdr:rowOff>236220</xdr:rowOff>
    </xdr:from>
    <xdr:to>
      <xdr:col>31</xdr:col>
      <xdr:colOff>2514600</xdr:colOff>
      <xdr:row>143</xdr:row>
      <xdr:rowOff>144780</xdr:rowOff>
    </xdr:to>
    <xdr:graphicFrame macro="">
      <xdr:nvGraphicFramePr>
        <xdr:cNvPr id="838543" name="Chart 1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662940</xdr:colOff>
      <xdr:row>151</xdr:row>
      <xdr:rowOff>0</xdr:rowOff>
    </xdr:from>
    <xdr:to>
      <xdr:col>1</xdr:col>
      <xdr:colOff>662940</xdr:colOff>
      <xdr:row>160</xdr:row>
      <xdr:rowOff>205740</xdr:rowOff>
    </xdr:to>
    <xdr:sp macro="" textlink="">
      <xdr:nvSpPr>
        <xdr:cNvPr id="838544" name="Line 235"/>
        <xdr:cNvSpPr>
          <a:spLocks noChangeShapeType="1"/>
        </xdr:cNvSpPr>
      </xdr:nvSpPr>
      <xdr:spPr bwMode="auto">
        <a:xfrm>
          <a:off x="899160" y="27134820"/>
          <a:ext cx="0" cy="1699260"/>
        </a:xfrm>
        <a:prstGeom prst="line">
          <a:avLst/>
        </a:prstGeom>
        <a:noFill/>
        <a:ln w="76200">
          <a:solidFill>
            <a:srgbClr val="C0C0C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579120</xdr:colOff>
      <xdr:row>151</xdr:row>
      <xdr:rowOff>0</xdr:rowOff>
    </xdr:from>
    <xdr:to>
      <xdr:col>8</xdr:col>
      <xdr:colOff>579120</xdr:colOff>
      <xdr:row>160</xdr:row>
      <xdr:rowOff>205740</xdr:rowOff>
    </xdr:to>
    <xdr:sp macro="" textlink="">
      <xdr:nvSpPr>
        <xdr:cNvPr id="838545" name="Line 236"/>
        <xdr:cNvSpPr>
          <a:spLocks noChangeShapeType="1"/>
        </xdr:cNvSpPr>
      </xdr:nvSpPr>
      <xdr:spPr bwMode="auto">
        <a:xfrm>
          <a:off x="5212080" y="27134820"/>
          <a:ext cx="0" cy="1699260"/>
        </a:xfrm>
        <a:prstGeom prst="line">
          <a:avLst/>
        </a:prstGeom>
        <a:noFill/>
        <a:ln w="76200">
          <a:solidFill>
            <a:srgbClr val="C0C0C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662940</xdr:colOff>
      <xdr:row>151</xdr:row>
      <xdr:rowOff>0</xdr:rowOff>
    </xdr:from>
    <xdr:to>
      <xdr:col>1</xdr:col>
      <xdr:colOff>662940</xdr:colOff>
      <xdr:row>160</xdr:row>
      <xdr:rowOff>205740</xdr:rowOff>
    </xdr:to>
    <xdr:sp macro="" textlink="">
      <xdr:nvSpPr>
        <xdr:cNvPr id="838546" name="Line 320"/>
        <xdr:cNvSpPr>
          <a:spLocks noChangeShapeType="1"/>
        </xdr:cNvSpPr>
      </xdr:nvSpPr>
      <xdr:spPr bwMode="auto">
        <a:xfrm>
          <a:off x="899160" y="27134820"/>
          <a:ext cx="0" cy="1699260"/>
        </a:xfrm>
        <a:prstGeom prst="line">
          <a:avLst/>
        </a:prstGeom>
        <a:noFill/>
        <a:ln w="76200">
          <a:solidFill>
            <a:srgbClr val="C0C0C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579120</xdr:colOff>
      <xdr:row>151</xdr:row>
      <xdr:rowOff>0</xdr:rowOff>
    </xdr:from>
    <xdr:to>
      <xdr:col>8</xdr:col>
      <xdr:colOff>579120</xdr:colOff>
      <xdr:row>160</xdr:row>
      <xdr:rowOff>205740</xdr:rowOff>
    </xdr:to>
    <xdr:sp macro="" textlink="">
      <xdr:nvSpPr>
        <xdr:cNvPr id="838547" name="Line 321"/>
        <xdr:cNvSpPr>
          <a:spLocks noChangeShapeType="1"/>
        </xdr:cNvSpPr>
      </xdr:nvSpPr>
      <xdr:spPr bwMode="auto">
        <a:xfrm>
          <a:off x="5212080" y="27134820"/>
          <a:ext cx="0" cy="1699260"/>
        </a:xfrm>
        <a:prstGeom prst="line">
          <a:avLst/>
        </a:prstGeom>
        <a:noFill/>
        <a:ln w="76200">
          <a:solidFill>
            <a:srgbClr val="C0C0C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30480</xdr:colOff>
      <xdr:row>8</xdr:row>
      <xdr:rowOff>30480</xdr:rowOff>
    </xdr:from>
    <xdr:to>
      <xdr:col>15</xdr:col>
      <xdr:colOff>2514600</xdr:colOff>
      <xdr:row>24</xdr:row>
      <xdr:rowOff>68580</xdr:rowOff>
    </xdr:to>
    <xdr:graphicFrame macro="">
      <xdr:nvGraphicFramePr>
        <xdr:cNvPr id="838548" name="Chart 9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16</xdr:col>
      <xdr:colOff>190500</xdr:colOff>
      <xdr:row>5</xdr:row>
      <xdr:rowOff>60960</xdr:rowOff>
    </xdr:from>
    <xdr:to>
      <xdr:col>18</xdr:col>
      <xdr:colOff>624840</xdr:colOff>
      <xdr:row>10</xdr:row>
      <xdr:rowOff>106680</xdr:rowOff>
    </xdr:to>
    <xdr:sp macro="" textlink="">
      <xdr:nvSpPr>
        <xdr:cNvPr id="838549" name="Line 934"/>
        <xdr:cNvSpPr>
          <a:spLocks noChangeShapeType="1"/>
        </xdr:cNvSpPr>
      </xdr:nvSpPr>
      <xdr:spPr bwMode="auto">
        <a:xfrm flipV="1">
          <a:off x="11719560" y="845820"/>
          <a:ext cx="1607820" cy="807720"/>
        </a:xfrm>
        <a:prstGeom prst="line">
          <a:avLst/>
        </a:prstGeom>
        <a:noFill/>
        <a:ln w="57150">
          <a:solidFill>
            <a:srgbClr val="C0C0C0"/>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24</xdr:col>
      <xdr:colOff>228600</xdr:colOff>
      <xdr:row>17</xdr:row>
      <xdr:rowOff>38100</xdr:rowOff>
    </xdr:from>
    <xdr:to>
      <xdr:col>30</xdr:col>
      <xdr:colOff>381000</xdr:colOff>
      <xdr:row>17</xdr:row>
      <xdr:rowOff>38100</xdr:rowOff>
    </xdr:to>
    <xdr:sp macro="" textlink="">
      <xdr:nvSpPr>
        <xdr:cNvPr id="838550" name="Line 935"/>
        <xdr:cNvSpPr>
          <a:spLocks noChangeShapeType="1"/>
        </xdr:cNvSpPr>
      </xdr:nvSpPr>
      <xdr:spPr bwMode="auto">
        <a:xfrm flipV="1">
          <a:off x="16360140" y="2651760"/>
          <a:ext cx="4030980" cy="0"/>
        </a:xfrm>
        <a:prstGeom prst="line">
          <a:avLst/>
        </a:prstGeom>
        <a:noFill/>
        <a:ln w="57150">
          <a:solidFill>
            <a:srgbClr val="C0C0C0"/>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38100</xdr:colOff>
      <xdr:row>8</xdr:row>
      <xdr:rowOff>30480</xdr:rowOff>
    </xdr:from>
    <xdr:to>
      <xdr:col>31</xdr:col>
      <xdr:colOff>2522220</xdr:colOff>
      <xdr:row>24</xdr:row>
      <xdr:rowOff>68580</xdr:rowOff>
    </xdr:to>
    <xdr:graphicFrame macro="">
      <xdr:nvGraphicFramePr>
        <xdr:cNvPr id="838551" name="Chart 9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0.03258</cdr:x>
      <cdr:y>0.02024</cdr:y>
    </cdr:from>
    <cdr:to>
      <cdr:x>0.34701</cdr:x>
      <cdr:y>0.15602</cdr:y>
    </cdr:to>
    <cdr:sp macro="" textlink="">
      <cdr:nvSpPr>
        <cdr:cNvPr id="194562" name="Text Box 2"/>
        <cdr:cNvSpPr txBox="1">
          <a:spLocks xmlns:a="http://schemas.openxmlformats.org/drawingml/2006/main" noChangeArrowheads="1"/>
        </cdr:cNvSpPr>
      </cdr:nvSpPr>
      <cdr:spPr bwMode="auto">
        <a:xfrm xmlns:a="http://schemas.openxmlformats.org/drawingml/2006/main">
          <a:off x="82887" y="50800"/>
          <a:ext cx="781181" cy="30757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Raw Data</a:t>
          </a:r>
        </a:p>
      </cdr:txBody>
    </cdr:sp>
  </cdr:relSizeAnchor>
  <cdr:relSizeAnchor xmlns:cdr="http://schemas.openxmlformats.org/drawingml/2006/chartDrawing">
    <cdr:from>
      <cdr:x>0.19473</cdr:x>
      <cdr:y>0.8471</cdr:y>
    </cdr:from>
    <cdr:to>
      <cdr:x>0.36671</cdr:x>
      <cdr:y>0.91571</cdr:y>
    </cdr:to>
    <cdr:sp macro="" textlink="">
      <cdr:nvSpPr>
        <cdr:cNvPr id="194563" name="Text Box 3"/>
        <cdr:cNvSpPr txBox="1">
          <a:spLocks xmlns:a="http://schemas.openxmlformats.org/drawingml/2006/main" noChangeArrowheads="1"/>
        </cdr:cNvSpPr>
      </cdr:nvSpPr>
      <cdr:spPr bwMode="auto">
        <a:xfrm xmlns:a="http://schemas.openxmlformats.org/drawingml/2006/main">
          <a:off x="504107" y="1968483"/>
          <a:ext cx="407801" cy="17269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65" b="0" i="0" strike="noStrike">
              <a:solidFill>
                <a:srgbClr val="000000"/>
              </a:solidFill>
              <a:latin typeface="Arial Narrow"/>
            </a:rPr>
            <a:t>Pre1</a:t>
          </a:r>
        </a:p>
      </cdr:txBody>
    </cdr:sp>
  </cdr:relSizeAnchor>
  <cdr:relSizeAnchor xmlns:cdr="http://schemas.openxmlformats.org/drawingml/2006/chartDrawing">
    <cdr:from>
      <cdr:x>0.39217</cdr:x>
      <cdr:y>0.8471</cdr:y>
    </cdr:from>
    <cdr:to>
      <cdr:x>0.5675</cdr:x>
      <cdr:y>0.91571</cdr:y>
    </cdr:to>
    <cdr:sp macro="" textlink="">
      <cdr:nvSpPr>
        <cdr:cNvPr id="194564" name="Text Box 4"/>
        <cdr:cNvSpPr txBox="1">
          <a:spLocks xmlns:a="http://schemas.openxmlformats.org/drawingml/2006/main" noChangeArrowheads="1"/>
        </cdr:cNvSpPr>
      </cdr:nvSpPr>
      <cdr:spPr bwMode="auto">
        <a:xfrm xmlns:a="http://schemas.openxmlformats.org/drawingml/2006/main">
          <a:off x="971415" y="1968483"/>
          <a:ext cx="417719" cy="17269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65" b="0" i="0" strike="noStrike">
              <a:solidFill>
                <a:srgbClr val="000000"/>
              </a:solidFill>
              <a:latin typeface="Arial Narrow"/>
            </a:rPr>
            <a:t>Pre2</a:t>
          </a:r>
        </a:p>
      </cdr:txBody>
    </cdr:sp>
  </cdr:relSizeAnchor>
  <cdr:relSizeAnchor xmlns:cdr="http://schemas.openxmlformats.org/drawingml/2006/chartDrawing">
    <cdr:from>
      <cdr:x>0.59224</cdr:x>
      <cdr:y>0.8471</cdr:y>
    </cdr:from>
    <cdr:to>
      <cdr:x>0.76782</cdr:x>
      <cdr:y>0.91571</cdr:y>
    </cdr:to>
    <cdr:sp macro="" textlink="">
      <cdr:nvSpPr>
        <cdr:cNvPr id="194565" name="Text Box 5"/>
        <cdr:cNvSpPr txBox="1">
          <a:spLocks xmlns:a="http://schemas.openxmlformats.org/drawingml/2006/main" noChangeArrowheads="1"/>
        </cdr:cNvSpPr>
      </cdr:nvSpPr>
      <cdr:spPr bwMode="auto">
        <a:xfrm xmlns:a="http://schemas.openxmlformats.org/drawingml/2006/main">
          <a:off x="1448058" y="1968483"/>
          <a:ext cx="419469" cy="17269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65" b="0" i="0" strike="noStrike">
              <a:solidFill>
                <a:srgbClr val="000000"/>
              </a:solidFill>
              <a:latin typeface="Arial Narrow"/>
            </a:rPr>
            <a:t>Post1</a:t>
          </a:r>
        </a:p>
      </cdr:txBody>
    </cdr:sp>
  </cdr:relSizeAnchor>
  <cdr:relSizeAnchor xmlns:cdr="http://schemas.openxmlformats.org/drawingml/2006/chartDrawing">
    <cdr:from>
      <cdr:x>0.79928</cdr:x>
      <cdr:y>0.8471</cdr:y>
    </cdr:from>
    <cdr:to>
      <cdr:x>0.9679</cdr:x>
      <cdr:y>0.91571</cdr:y>
    </cdr:to>
    <cdr:sp macro="" textlink="">
      <cdr:nvSpPr>
        <cdr:cNvPr id="194566" name="Text Box 6"/>
        <cdr:cNvSpPr txBox="1">
          <a:spLocks xmlns:a="http://schemas.openxmlformats.org/drawingml/2006/main" noChangeArrowheads="1"/>
        </cdr:cNvSpPr>
      </cdr:nvSpPr>
      <cdr:spPr bwMode="auto">
        <a:xfrm xmlns:a="http://schemas.openxmlformats.org/drawingml/2006/main">
          <a:off x="1942203" y="1968483"/>
          <a:ext cx="406051" cy="17269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65" b="0" i="0" strike="noStrike">
              <a:solidFill>
                <a:srgbClr val="000000"/>
              </a:solidFill>
              <a:latin typeface="Arial Narrow"/>
            </a:rPr>
            <a:t>Post2</a:t>
          </a:r>
        </a:p>
      </cdr:txBody>
    </cdr:sp>
  </cdr:relSizeAnchor>
</c:userShapes>
</file>

<file path=xl/drawings/drawing11.xml><?xml version="1.0" encoding="utf-8"?>
<c:userShapes xmlns:c="http://schemas.openxmlformats.org/drawingml/2006/chart">
  <cdr:relSizeAnchor xmlns:cdr="http://schemas.openxmlformats.org/drawingml/2006/chartDrawing">
    <cdr:from>
      <cdr:x>0.03618</cdr:x>
      <cdr:y>0.02024</cdr:y>
    </cdr:from>
    <cdr:to>
      <cdr:x>0.55759</cdr:x>
      <cdr:y>0.14809</cdr:y>
    </cdr:to>
    <cdr:sp macro="" textlink="">
      <cdr:nvSpPr>
        <cdr:cNvPr id="201730" name="Text Box 2"/>
        <cdr:cNvSpPr txBox="1">
          <a:spLocks xmlns:a="http://schemas.openxmlformats.org/drawingml/2006/main" noChangeArrowheads="1"/>
        </cdr:cNvSpPr>
      </cdr:nvSpPr>
      <cdr:spPr bwMode="auto">
        <a:xfrm xmlns:a="http://schemas.openxmlformats.org/drawingml/2006/main">
          <a:off x="78220" y="50800"/>
          <a:ext cx="1202400" cy="22912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Back-transformed Data</a:t>
          </a:r>
        </a:p>
      </cdr:txBody>
    </cdr:sp>
  </cdr:relSizeAnchor>
  <cdr:relSizeAnchor xmlns:cdr="http://schemas.openxmlformats.org/drawingml/2006/chartDrawing">
    <cdr:from>
      <cdr:x>0.24626</cdr:x>
      <cdr:y>0.7845</cdr:y>
    </cdr:from>
    <cdr:to>
      <cdr:x>0.40433</cdr:x>
      <cdr:y>0.88669</cdr:y>
    </cdr:to>
    <cdr:sp macro="" textlink="">
      <cdr:nvSpPr>
        <cdr:cNvPr id="201731" name="Text Box 3"/>
        <cdr:cNvSpPr txBox="1">
          <a:spLocks xmlns:a="http://schemas.openxmlformats.org/drawingml/2006/main" noChangeArrowheads="1"/>
        </cdr:cNvSpPr>
      </cdr:nvSpPr>
      <cdr:spPr bwMode="auto">
        <a:xfrm xmlns:a="http://schemas.openxmlformats.org/drawingml/2006/main">
          <a:off x="463852" y="1974690"/>
          <a:ext cx="415385" cy="1732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65" b="0" i="0" strike="noStrike">
              <a:solidFill>
                <a:srgbClr val="000000"/>
              </a:solidFill>
              <a:latin typeface="Arial Narrow"/>
            </a:rPr>
            <a:t>Pre1</a:t>
          </a:r>
        </a:p>
      </cdr:txBody>
    </cdr:sp>
  </cdr:relSizeAnchor>
  <cdr:relSizeAnchor xmlns:cdr="http://schemas.openxmlformats.org/drawingml/2006/chartDrawing">
    <cdr:from>
      <cdr:x>0.42859</cdr:x>
      <cdr:y>0.7845</cdr:y>
    </cdr:from>
    <cdr:to>
      <cdr:x>0.5881</cdr:x>
      <cdr:y>0.88669</cdr:y>
    </cdr:to>
    <cdr:sp macro="" textlink="">
      <cdr:nvSpPr>
        <cdr:cNvPr id="201732" name="Text Box 4"/>
        <cdr:cNvSpPr txBox="1">
          <a:spLocks xmlns:a="http://schemas.openxmlformats.org/drawingml/2006/main" noChangeArrowheads="1"/>
        </cdr:cNvSpPr>
      </cdr:nvSpPr>
      <cdr:spPr bwMode="auto">
        <a:xfrm xmlns:a="http://schemas.openxmlformats.org/drawingml/2006/main">
          <a:off x="942828" y="1974690"/>
          <a:ext cx="415969" cy="1732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65" b="0" i="0" strike="noStrike">
              <a:solidFill>
                <a:srgbClr val="000000"/>
              </a:solidFill>
              <a:latin typeface="Arial Narrow"/>
            </a:rPr>
            <a:t>Pre2</a:t>
          </a:r>
        </a:p>
      </cdr:txBody>
    </cdr:sp>
  </cdr:relSizeAnchor>
  <cdr:relSizeAnchor xmlns:cdr="http://schemas.openxmlformats.org/drawingml/2006/chartDrawing">
    <cdr:from>
      <cdr:x>0.61188</cdr:x>
      <cdr:y>0.7845</cdr:y>
    </cdr:from>
    <cdr:to>
      <cdr:x>0.77043</cdr:x>
      <cdr:y>0.88669</cdr:y>
    </cdr:to>
    <cdr:sp macro="" textlink="">
      <cdr:nvSpPr>
        <cdr:cNvPr id="201733" name="Text Box 5"/>
        <cdr:cNvSpPr txBox="1">
          <a:spLocks xmlns:a="http://schemas.openxmlformats.org/drawingml/2006/main" noChangeArrowheads="1"/>
        </cdr:cNvSpPr>
      </cdr:nvSpPr>
      <cdr:spPr bwMode="auto">
        <a:xfrm xmlns:a="http://schemas.openxmlformats.org/drawingml/2006/main">
          <a:off x="1421805" y="1974690"/>
          <a:ext cx="415968" cy="1732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65" b="0" i="0" strike="noStrike">
              <a:solidFill>
                <a:srgbClr val="000000"/>
              </a:solidFill>
              <a:latin typeface="Arial Narrow"/>
            </a:rPr>
            <a:t>Post1</a:t>
          </a:r>
        </a:p>
      </cdr:txBody>
    </cdr:sp>
  </cdr:relSizeAnchor>
  <cdr:relSizeAnchor xmlns:cdr="http://schemas.openxmlformats.org/drawingml/2006/chartDrawing">
    <cdr:from>
      <cdr:x>0.7947</cdr:x>
      <cdr:y>0.7845</cdr:y>
    </cdr:from>
    <cdr:to>
      <cdr:x>0.95277</cdr:x>
      <cdr:y>0.88669</cdr:y>
    </cdr:to>
    <cdr:sp macro="" textlink="">
      <cdr:nvSpPr>
        <cdr:cNvPr id="201734" name="Text Box 6"/>
        <cdr:cNvSpPr txBox="1">
          <a:spLocks xmlns:a="http://schemas.openxmlformats.org/drawingml/2006/main" noChangeArrowheads="1"/>
        </cdr:cNvSpPr>
      </cdr:nvSpPr>
      <cdr:spPr bwMode="auto">
        <a:xfrm xmlns:a="http://schemas.openxmlformats.org/drawingml/2006/main">
          <a:off x="1901365" y="1974690"/>
          <a:ext cx="415385" cy="1732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765" b="0" i="0" strike="noStrike">
              <a:solidFill>
                <a:srgbClr val="000000"/>
              </a:solidFill>
              <a:latin typeface="Arial Narrow"/>
            </a:rPr>
            <a:t>Post2</a:t>
          </a:r>
        </a:p>
      </cdr:txBody>
    </cdr:sp>
  </cdr:relSizeAnchor>
</c:userShapes>
</file>

<file path=xl/drawings/drawing2.xml><?xml version="1.0" encoding="utf-8"?>
<c:userShapes xmlns:c="http://schemas.openxmlformats.org/drawingml/2006/chart">
  <cdr:relSizeAnchor xmlns:cdr="http://schemas.openxmlformats.org/drawingml/2006/chartDrawing">
    <cdr:from>
      <cdr:x>0.13842</cdr:x>
      <cdr:y>0.02078</cdr:y>
    </cdr:from>
    <cdr:to>
      <cdr:x>0.49004</cdr:x>
      <cdr:y>0.14035</cdr:y>
    </cdr:to>
    <cdr:sp macro="" textlink="">
      <cdr:nvSpPr>
        <cdr:cNvPr id="81922" name="Text Box 2"/>
        <cdr:cNvSpPr txBox="1">
          <a:spLocks xmlns:a="http://schemas.openxmlformats.org/drawingml/2006/main" noChangeArrowheads="1"/>
        </cdr:cNvSpPr>
      </cdr:nvSpPr>
      <cdr:spPr bwMode="auto">
        <a:xfrm xmlns:a="http://schemas.openxmlformats.org/drawingml/2006/main">
          <a:off x="135630" y="50800"/>
          <a:ext cx="888387" cy="28289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Raw Data</a:t>
          </a:r>
        </a:p>
      </cdr:txBody>
    </cdr:sp>
  </cdr:relSizeAnchor>
</c:userShapes>
</file>

<file path=xl/drawings/drawing3.xml><?xml version="1.0" encoding="utf-8"?>
<c:userShapes xmlns:c="http://schemas.openxmlformats.org/drawingml/2006/chart">
  <cdr:relSizeAnchor xmlns:cdr="http://schemas.openxmlformats.org/drawingml/2006/chartDrawing">
    <cdr:from>
      <cdr:x>0.11397</cdr:x>
      <cdr:y>0.02165</cdr:y>
    </cdr:from>
    <cdr:to>
      <cdr:x>0.47901</cdr:x>
      <cdr:y>0.19579</cdr:y>
    </cdr:to>
    <cdr:sp macro="" textlink="">
      <cdr:nvSpPr>
        <cdr:cNvPr id="82946" name="Text Box 2"/>
        <cdr:cNvSpPr txBox="1">
          <a:spLocks xmlns:a="http://schemas.openxmlformats.org/drawingml/2006/main" noChangeArrowheads="1"/>
        </cdr:cNvSpPr>
      </cdr:nvSpPr>
      <cdr:spPr bwMode="auto">
        <a:xfrm xmlns:a="http://schemas.openxmlformats.org/drawingml/2006/main">
          <a:off x="143183" y="50800"/>
          <a:ext cx="893616" cy="3162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Raw Data</a:t>
          </a:r>
        </a:p>
      </cdr:txBody>
    </cdr:sp>
  </cdr:relSizeAnchor>
</c:userShapes>
</file>

<file path=xl/drawings/drawing4.xml><?xml version="1.0" encoding="utf-8"?>
<c:userShapes xmlns:c="http://schemas.openxmlformats.org/drawingml/2006/chart">
  <cdr:relSizeAnchor xmlns:cdr="http://schemas.openxmlformats.org/drawingml/2006/chartDrawing">
    <cdr:from>
      <cdr:x>0.12114</cdr:x>
      <cdr:y>0.01911</cdr:y>
    </cdr:from>
    <cdr:to>
      <cdr:x>0.48687</cdr:x>
      <cdr:y>0.17746</cdr:y>
    </cdr:to>
    <cdr:sp macro="" textlink="">
      <cdr:nvSpPr>
        <cdr:cNvPr id="83970" name="Text Box 2"/>
        <cdr:cNvSpPr txBox="1">
          <a:spLocks xmlns:a="http://schemas.openxmlformats.org/drawingml/2006/main" noChangeArrowheads="1"/>
        </cdr:cNvSpPr>
      </cdr:nvSpPr>
      <cdr:spPr bwMode="auto">
        <a:xfrm xmlns:a="http://schemas.openxmlformats.org/drawingml/2006/main">
          <a:off x="108321" y="50800"/>
          <a:ext cx="855269" cy="3127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Raw Data</a:t>
          </a:r>
        </a:p>
      </cdr:txBody>
    </cdr:sp>
  </cdr:relSizeAnchor>
</c:userShapes>
</file>

<file path=xl/drawings/drawing5.xml><?xml version="1.0" encoding="utf-8"?>
<c:userShapes xmlns:c="http://schemas.openxmlformats.org/drawingml/2006/chart">
  <cdr:relSizeAnchor xmlns:cdr="http://schemas.openxmlformats.org/drawingml/2006/chartDrawing">
    <cdr:from>
      <cdr:x>0.07079</cdr:x>
      <cdr:y>0.02141</cdr:y>
    </cdr:from>
    <cdr:to>
      <cdr:x>0.49003</cdr:x>
      <cdr:y>0.22184</cdr:y>
    </cdr:to>
    <cdr:sp macro="" textlink="">
      <cdr:nvSpPr>
        <cdr:cNvPr id="84994" name="Text Box 2"/>
        <cdr:cNvSpPr txBox="1">
          <a:spLocks xmlns:a="http://schemas.openxmlformats.org/drawingml/2006/main" noChangeArrowheads="1"/>
        </cdr:cNvSpPr>
      </cdr:nvSpPr>
      <cdr:spPr bwMode="auto">
        <a:xfrm xmlns:a="http://schemas.openxmlformats.org/drawingml/2006/main">
          <a:off x="105416" y="50800"/>
          <a:ext cx="904656" cy="3110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Raw Data</a:t>
          </a:r>
        </a:p>
      </cdr:txBody>
    </cdr:sp>
  </cdr:relSizeAnchor>
</c:userShapes>
</file>

<file path=xl/drawings/drawing6.xml><?xml version="1.0" encoding="utf-8"?>
<c:userShapes xmlns:c="http://schemas.openxmlformats.org/drawingml/2006/chart">
  <cdr:relSizeAnchor xmlns:cdr="http://schemas.openxmlformats.org/drawingml/2006/chartDrawing">
    <cdr:from>
      <cdr:x>0.07965</cdr:x>
      <cdr:y>0.02131</cdr:y>
    </cdr:from>
    <cdr:to>
      <cdr:x>0.55338</cdr:x>
      <cdr:y>0.17509</cdr:y>
    </cdr:to>
    <cdr:sp macro="" textlink="">
      <cdr:nvSpPr>
        <cdr:cNvPr id="86018" name="Text Box 2"/>
        <cdr:cNvSpPr txBox="1">
          <a:spLocks xmlns:a="http://schemas.openxmlformats.org/drawingml/2006/main" noChangeArrowheads="1"/>
        </cdr:cNvSpPr>
      </cdr:nvSpPr>
      <cdr:spPr bwMode="auto">
        <a:xfrm xmlns:a="http://schemas.openxmlformats.org/drawingml/2006/main">
          <a:off x="89148" y="50800"/>
          <a:ext cx="1009821" cy="26431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Log-transformed</a:t>
          </a:r>
        </a:p>
      </cdr:txBody>
    </cdr:sp>
  </cdr:relSizeAnchor>
</c:userShapes>
</file>

<file path=xl/drawings/drawing7.xml><?xml version="1.0" encoding="utf-8"?>
<c:userShapes xmlns:c="http://schemas.openxmlformats.org/drawingml/2006/chart">
  <cdr:relSizeAnchor xmlns:cdr="http://schemas.openxmlformats.org/drawingml/2006/chartDrawing">
    <cdr:from>
      <cdr:x>0.01825</cdr:x>
      <cdr:y>0.02165</cdr:y>
    </cdr:from>
    <cdr:to>
      <cdr:x>0.50183</cdr:x>
      <cdr:y>0.18116</cdr:y>
    </cdr:to>
    <cdr:sp macro="" textlink="">
      <cdr:nvSpPr>
        <cdr:cNvPr id="87042" name="Text Box 1026"/>
        <cdr:cNvSpPr txBox="1">
          <a:spLocks xmlns:a="http://schemas.openxmlformats.org/drawingml/2006/main" noChangeArrowheads="1"/>
        </cdr:cNvSpPr>
      </cdr:nvSpPr>
      <cdr:spPr bwMode="auto">
        <a:xfrm xmlns:a="http://schemas.openxmlformats.org/drawingml/2006/main">
          <a:off x="50800" y="50800"/>
          <a:ext cx="1033643" cy="26418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Log-transformed</a:t>
          </a:r>
        </a:p>
      </cdr:txBody>
    </cdr:sp>
  </cdr:relSizeAnchor>
</c:userShapes>
</file>

<file path=xl/drawings/drawing8.xml><?xml version="1.0" encoding="utf-8"?>
<c:userShapes xmlns:c="http://schemas.openxmlformats.org/drawingml/2006/chart">
  <cdr:relSizeAnchor xmlns:cdr="http://schemas.openxmlformats.org/drawingml/2006/chartDrawing">
    <cdr:from>
      <cdr:x>0.01777</cdr:x>
      <cdr:y>0.01815</cdr:y>
    </cdr:from>
    <cdr:to>
      <cdr:x>0.54864</cdr:x>
      <cdr:y>0.11388</cdr:y>
    </cdr:to>
    <cdr:sp macro="" textlink="">
      <cdr:nvSpPr>
        <cdr:cNvPr id="88066" name="Text Box 1026"/>
        <cdr:cNvSpPr txBox="1">
          <a:spLocks xmlns:a="http://schemas.openxmlformats.org/drawingml/2006/main" noChangeArrowheads="1"/>
        </cdr:cNvSpPr>
      </cdr:nvSpPr>
      <cdr:spPr bwMode="auto">
        <a:xfrm xmlns:a="http://schemas.openxmlformats.org/drawingml/2006/main">
          <a:off x="50800" y="50800"/>
          <a:ext cx="1128351" cy="1724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Log-transformed</a:t>
          </a:r>
        </a:p>
      </cdr:txBody>
    </cdr:sp>
  </cdr:relSizeAnchor>
</c:userShapes>
</file>

<file path=xl/drawings/drawing9.xml><?xml version="1.0" encoding="utf-8"?>
<c:userShapes xmlns:c="http://schemas.openxmlformats.org/drawingml/2006/chart">
  <cdr:relSizeAnchor xmlns:cdr="http://schemas.openxmlformats.org/drawingml/2006/chartDrawing">
    <cdr:from>
      <cdr:x>0.01921</cdr:x>
      <cdr:y>0.02165</cdr:y>
    </cdr:from>
    <cdr:to>
      <cdr:x>0.52272</cdr:x>
      <cdr:y>0.13381</cdr:y>
    </cdr:to>
    <cdr:sp macro="" textlink="">
      <cdr:nvSpPr>
        <cdr:cNvPr id="89090" name="Text Box 1026"/>
        <cdr:cNvSpPr txBox="1">
          <a:spLocks xmlns:a="http://schemas.openxmlformats.org/drawingml/2006/main" noChangeArrowheads="1"/>
        </cdr:cNvSpPr>
      </cdr:nvSpPr>
      <cdr:spPr bwMode="auto">
        <a:xfrm xmlns:a="http://schemas.openxmlformats.org/drawingml/2006/main">
          <a:off x="50800" y="50800"/>
          <a:ext cx="1091165" cy="1689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765" b="0" i="0" strike="noStrike">
              <a:solidFill>
                <a:srgbClr val="000000"/>
              </a:solidFill>
              <a:latin typeface="Arial Narrow"/>
            </a:rPr>
            <a:t>Log-transformed</a:t>
          </a:r>
        </a:p>
      </cdr:txBody>
    </cdr:sp>
  </cdr:relSizeAnchor>
</c:userShapes>
</file>

<file path=xl/theme/theme1.xml><?xml version="1.0" encoding="utf-8"?>
<a:theme xmlns:a="http://schemas.openxmlformats.org/drawingml/2006/main" name="Office Theme">
  <a:themeElements>
    <a:clrScheme name="Primaries">
      <a:dk1>
        <a:sysClr val="windowText" lastClr="000000"/>
      </a:dk1>
      <a:lt1>
        <a:sysClr val="window" lastClr="FFFFFF"/>
      </a:lt1>
      <a:dk2>
        <a:srgbClr val="1F497D"/>
      </a:dk2>
      <a:lt2>
        <a:srgbClr val="EEECE1"/>
      </a:lt2>
      <a:accent1>
        <a:srgbClr val="FF0000"/>
      </a:accent1>
      <a:accent2>
        <a:srgbClr val="FFC000"/>
      </a:accent2>
      <a:accent3>
        <a:srgbClr val="FFFF00"/>
      </a:accent3>
      <a:accent4>
        <a:srgbClr val="92D050"/>
      </a:accent4>
      <a:accent5>
        <a:srgbClr val="0070C0"/>
      </a:accent5>
      <a:accent6>
        <a:srgbClr val="7030A0"/>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77"/>
  <sheetViews>
    <sheetView tabSelected="1" zoomScaleNormal="100" workbookViewId="0"/>
  </sheetViews>
  <sheetFormatPr defaultRowHeight="13.2" x14ac:dyDescent="0.25"/>
  <cols>
    <col min="1" max="1" width="3.44140625" customWidth="1"/>
    <col min="2" max="2" width="13.6640625" customWidth="1"/>
    <col min="3" max="3" width="13.21875" customWidth="1"/>
    <col min="4" max="8" width="7.44140625" customWidth="1"/>
    <col min="9" max="9" width="13.33203125" customWidth="1"/>
    <col min="10" max="10" width="12.88671875" customWidth="1"/>
    <col min="11" max="15" width="7.44140625" customWidth="1"/>
    <col min="16" max="16" width="37.109375" customWidth="1"/>
    <col min="17" max="17" width="3.44140625" customWidth="1"/>
    <col min="18" max="18" width="13.6640625" customWidth="1"/>
    <col min="19" max="19" width="12.77734375" customWidth="1"/>
    <col min="20" max="24" width="7.44140625" customWidth="1"/>
    <col min="25" max="25" width="13.6640625" customWidth="1"/>
    <col min="26" max="26" width="13.109375" customWidth="1"/>
    <col min="27" max="31" width="7.44140625" customWidth="1"/>
    <col min="32" max="32" width="37.109375" customWidth="1"/>
  </cols>
  <sheetData>
    <row r="1" spans="2:24" s="48" customFormat="1" ht="13.8" x14ac:dyDescent="0.25">
      <c r="B1" s="49" t="s">
        <v>183</v>
      </c>
    </row>
    <row r="2" spans="2:24" s="50" customFormat="1" ht="12" customHeight="1" x14ac:dyDescent="0.25">
      <c r="B2" s="75" t="s">
        <v>207</v>
      </c>
      <c r="C2" s="75"/>
      <c r="F2" s="177" t="s">
        <v>208</v>
      </c>
      <c r="G2" s="50">
        <v>2014</v>
      </c>
      <c r="H2" s="338">
        <v>2013</v>
      </c>
      <c r="I2" s="338">
        <v>2012</v>
      </c>
      <c r="J2" s="338">
        <v>2011</v>
      </c>
    </row>
    <row r="3" spans="2:24" s="50" customFormat="1" ht="12" customHeight="1" x14ac:dyDescent="0.25">
      <c r="B3" s="50" t="s">
        <v>213</v>
      </c>
    </row>
    <row r="4" spans="2:24" s="50" customFormat="1" ht="12" customHeight="1" x14ac:dyDescent="0.25">
      <c r="B4" s="52" t="s">
        <v>47</v>
      </c>
      <c r="T4" s="177" t="s">
        <v>150</v>
      </c>
      <c r="U4" s="110" t="str">
        <f>E41</f>
        <v>Pre1</v>
      </c>
      <c r="V4" s="110" t="str">
        <f>F41</f>
        <v>Pre2</v>
      </c>
      <c r="W4" s="110" t="str">
        <f>G41</f>
        <v>Post1</v>
      </c>
      <c r="X4" s="110" t="str">
        <f>H41</f>
        <v>Post2</v>
      </c>
    </row>
    <row r="5" spans="2:24" s="50" customFormat="1" ht="12" customHeight="1" x14ac:dyDescent="0.25">
      <c r="B5" s="50" t="s">
        <v>116</v>
      </c>
      <c r="T5" s="50" t="str">
        <f>B42</f>
        <v>Control</v>
      </c>
    </row>
    <row r="6" spans="2:24" s="50" customFormat="1" ht="12" customHeight="1" x14ac:dyDescent="0.25">
      <c r="B6" s="52" t="s">
        <v>59</v>
      </c>
      <c r="C6"/>
      <c r="D6"/>
      <c r="T6" s="177" t="s">
        <v>161</v>
      </c>
      <c r="U6" s="50">
        <v>0.95</v>
      </c>
      <c r="V6" s="50">
        <v>1.95</v>
      </c>
      <c r="W6" s="50">
        <v>2.95</v>
      </c>
      <c r="X6" s="50">
        <v>3.95</v>
      </c>
    </row>
    <row r="7" spans="2:24" s="50" customFormat="1" ht="12" customHeight="1" x14ac:dyDescent="0.25">
      <c r="B7" s="52" t="s">
        <v>141</v>
      </c>
      <c r="C7"/>
      <c r="D7"/>
      <c r="T7" s="2" t="s">
        <v>151</v>
      </c>
      <c r="U7" s="98">
        <f t="shared" ref="U7:X8" si="0">E62</f>
        <v>403.74313992986185</v>
      </c>
      <c r="V7" s="98">
        <f t="shared" si="0"/>
        <v>405.97365972243381</v>
      </c>
      <c r="W7" s="98">
        <f t="shared" si="0"/>
        <v>411.75450913531449</v>
      </c>
      <c r="X7" s="98">
        <f t="shared" si="0"/>
        <v>408.49950272585806</v>
      </c>
    </row>
    <row r="8" spans="2:24" s="50" customFormat="1" ht="12" customHeight="1" x14ac:dyDescent="0.25">
      <c r="B8" s="50" t="s">
        <v>142</v>
      </c>
      <c r="C8"/>
      <c r="D8"/>
      <c r="T8" s="177" t="s">
        <v>152</v>
      </c>
      <c r="U8" s="255">
        <f t="shared" si="0"/>
        <v>21.911795113465768</v>
      </c>
      <c r="V8" s="255">
        <f t="shared" si="0"/>
        <v>21.096269939867266</v>
      </c>
      <c r="W8" s="255">
        <f t="shared" si="0"/>
        <v>22.655244592733524</v>
      </c>
      <c r="X8" s="255">
        <f t="shared" si="0"/>
        <v>23.922583581514715</v>
      </c>
    </row>
    <row r="9" spans="2:24" s="50" customFormat="1" ht="12" customHeight="1" x14ac:dyDescent="0.25">
      <c r="B9" s="50" t="s">
        <v>64</v>
      </c>
      <c r="C9"/>
      <c r="D9"/>
      <c r="T9" s="177" t="s">
        <v>153</v>
      </c>
      <c r="U9" s="255">
        <f>E63</f>
        <v>21.911795113465768</v>
      </c>
      <c r="V9" s="255">
        <f>F63</f>
        <v>21.096269939867266</v>
      </c>
      <c r="W9" s="255">
        <f>G63</f>
        <v>22.655244592733524</v>
      </c>
      <c r="X9" s="255">
        <f>H63</f>
        <v>23.922583581514715</v>
      </c>
    </row>
    <row r="10" spans="2:24" s="50" customFormat="1" ht="12" customHeight="1" x14ac:dyDescent="0.25">
      <c r="B10" t="s">
        <v>27</v>
      </c>
      <c r="C10"/>
      <c r="D10"/>
      <c r="T10" s="50" t="str">
        <f>B73</f>
        <v>Exptal</v>
      </c>
    </row>
    <row r="11" spans="2:24" s="50" customFormat="1" ht="12" customHeight="1" x14ac:dyDescent="0.25">
      <c r="B11" s="75" t="s">
        <v>65</v>
      </c>
      <c r="C11"/>
      <c r="D11"/>
      <c r="T11" s="177" t="s">
        <v>161</v>
      </c>
      <c r="U11" s="50">
        <v>1.05</v>
      </c>
      <c r="V11" s="50">
        <v>2.0499999999999998</v>
      </c>
      <c r="W11" s="50">
        <v>3.05</v>
      </c>
      <c r="X11" s="50">
        <v>4.05</v>
      </c>
    </row>
    <row r="12" spans="2:24" s="50" customFormat="1" ht="12" customHeight="1" x14ac:dyDescent="0.25">
      <c r="B12" s="340" t="s">
        <v>168</v>
      </c>
      <c r="C12"/>
      <c r="D12"/>
      <c r="T12" s="2" t="s">
        <v>151</v>
      </c>
      <c r="U12" s="256">
        <f t="shared" ref="U12:X13" si="1">E93</f>
        <v>389.45913670632297</v>
      </c>
      <c r="V12" s="256">
        <f t="shared" si="1"/>
        <v>397.8758021121921</v>
      </c>
      <c r="W12" s="256">
        <f t="shared" si="1"/>
        <v>410.50745981472511</v>
      </c>
      <c r="X12" s="256">
        <f t="shared" si="1"/>
        <v>404.41741472444272</v>
      </c>
    </row>
    <row r="13" spans="2:24" s="50" customFormat="1" ht="12" customHeight="1" x14ac:dyDescent="0.25">
      <c r="B13" s="75" t="s">
        <v>121</v>
      </c>
      <c r="C13"/>
      <c r="D13"/>
      <c r="T13" s="177" t="s">
        <v>152</v>
      </c>
      <c r="U13" s="256">
        <f t="shared" si="1"/>
        <v>20.721381402404134</v>
      </c>
      <c r="V13" s="256">
        <f t="shared" si="1"/>
        <v>22.441585417311746</v>
      </c>
      <c r="W13" s="256">
        <f t="shared" si="1"/>
        <v>26.869218273256372</v>
      </c>
      <c r="X13" s="256">
        <f t="shared" si="1"/>
        <v>23.215835517433177</v>
      </c>
    </row>
    <row r="14" spans="2:24" s="50" customFormat="1" ht="12" customHeight="1" x14ac:dyDescent="0.25">
      <c r="B14" s="50" t="s">
        <v>163</v>
      </c>
      <c r="T14" s="177" t="s">
        <v>153</v>
      </c>
      <c r="U14" s="256">
        <f>E94</f>
        <v>20.721381402404134</v>
      </c>
      <c r="V14" s="256">
        <f>F94</f>
        <v>22.441585417311746</v>
      </c>
      <c r="W14" s="256">
        <f>G94</f>
        <v>26.869218273256372</v>
      </c>
      <c r="X14" s="256">
        <f>H94</f>
        <v>23.215835517433177</v>
      </c>
    </row>
    <row r="15" spans="2:24" s="50" customFormat="1" ht="12" customHeight="1" x14ac:dyDescent="0.25">
      <c r="B15" s="52" t="s">
        <v>143</v>
      </c>
      <c r="C15"/>
      <c r="D15"/>
      <c r="T15" s="177"/>
      <c r="U15" s="256"/>
      <c r="V15" s="256"/>
      <c r="W15" s="256"/>
      <c r="X15" s="256"/>
    </row>
    <row r="16" spans="2:24" s="50" customFormat="1" ht="12" customHeight="1" x14ac:dyDescent="0.25">
      <c r="B16" s="52" t="s">
        <v>120</v>
      </c>
      <c r="C16"/>
      <c r="D16"/>
    </row>
    <row r="17" spans="1:27" ht="12" customHeight="1" x14ac:dyDescent="0.25">
      <c r="B17" s="52" t="s">
        <v>122</v>
      </c>
      <c r="E17" s="50"/>
      <c r="F17" s="50"/>
      <c r="G17" s="50"/>
      <c r="H17" s="50"/>
      <c r="T17" s="177" t="s">
        <v>150</v>
      </c>
      <c r="U17" s="110" t="str">
        <f>U41</f>
        <v>Pre1</v>
      </c>
      <c r="V17" s="110" t="str">
        <f>V41</f>
        <v>Pre2</v>
      </c>
      <c r="W17" s="110" t="str">
        <f>W41</f>
        <v>Post1</v>
      </c>
      <c r="X17" s="110" t="str">
        <f>X41</f>
        <v>Post2</v>
      </c>
    </row>
    <row r="18" spans="1:27" s="50" customFormat="1" ht="12" customHeight="1" x14ac:dyDescent="0.25">
      <c r="B18" s="52" t="s">
        <v>66</v>
      </c>
      <c r="C18"/>
      <c r="D18"/>
      <c r="E18"/>
      <c r="F18"/>
      <c r="G18"/>
      <c r="H18"/>
      <c r="T18" s="50" t="str">
        <f>R42</f>
        <v>Control</v>
      </c>
    </row>
    <row r="19" spans="1:27" s="50" customFormat="1" ht="12" customHeight="1" x14ac:dyDescent="0.25">
      <c r="B19" s="52" t="s">
        <v>123</v>
      </c>
      <c r="C19"/>
      <c r="D19"/>
      <c r="H19" s="232"/>
      <c r="T19" s="177" t="s">
        <v>161</v>
      </c>
      <c r="U19" s="50">
        <v>0.95</v>
      </c>
      <c r="V19" s="50">
        <v>1.95</v>
      </c>
      <c r="W19" s="50">
        <v>2.95</v>
      </c>
      <c r="X19" s="50">
        <v>3.95</v>
      </c>
    </row>
    <row r="20" spans="1:27" s="50" customFormat="1" ht="12" customHeight="1" x14ac:dyDescent="0.25">
      <c r="B20" s="52" t="s">
        <v>124</v>
      </c>
      <c r="C20"/>
      <c r="D20"/>
      <c r="T20" s="2" t="s">
        <v>151</v>
      </c>
      <c r="U20" s="1">
        <f>U67</f>
        <v>403.1762592768327</v>
      </c>
      <c r="V20" s="1">
        <f>V67</f>
        <v>405.45005310369618</v>
      </c>
      <c r="W20" s="1">
        <f>W67</f>
        <v>411.14776538692001</v>
      </c>
      <c r="X20" s="1">
        <f>X67</f>
        <v>407.82993042012748</v>
      </c>
    </row>
    <row r="21" spans="1:27" s="50" customFormat="1" ht="12" customHeight="1" x14ac:dyDescent="0.25">
      <c r="B21" s="231" t="s">
        <v>115</v>
      </c>
      <c r="C21" s="166"/>
      <c r="D21" s="166"/>
      <c r="T21" s="177" t="s">
        <v>152</v>
      </c>
      <c r="U21" s="257">
        <f>U20*U69-U20</f>
        <v>22.562711674410139</v>
      </c>
      <c r="V21" s="257">
        <f>V20*V69-V20</f>
        <v>21.733272748687739</v>
      </c>
      <c r="W21" s="257">
        <f>W20*W69-W20</f>
        <v>23.716697529111343</v>
      </c>
      <c r="X21" s="257">
        <f>X20*X69-X20</f>
        <v>24.735069505734259</v>
      </c>
    </row>
    <row r="22" spans="1:27" s="50" customFormat="1" ht="12" customHeight="1" x14ac:dyDescent="0.25">
      <c r="B22" s="75" t="s">
        <v>162</v>
      </c>
      <c r="C22" s="233"/>
      <c r="D22" s="233"/>
      <c r="E22" s="166"/>
      <c r="F22" s="166"/>
      <c r="G22" s="166"/>
      <c r="H22" s="166"/>
      <c r="T22" s="177" t="s">
        <v>153</v>
      </c>
      <c r="U22" s="257">
        <f>U20-U20/U69</f>
        <v>21.36696500136037</v>
      </c>
      <c r="V22" s="257">
        <f>V20-V20/V69</f>
        <v>20.627576164144386</v>
      </c>
      <c r="W22" s="257">
        <f>W20-W20/W69</f>
        <v>22.423233036943884</v>
      </c>
      <c r="X22" s="257">
        <f>X20-X20/X69</f>
        <v>23.320660888397299</v>
      </c>
    </row>
    <row r="23" spans="1:27" ht="12.75" customHeight="1" x14ac:dyDescent="0.25">
      <c r="B23" s="340" t="s">
        <v>211</v>
      </c>
      <c r="D23" s="2"/>
      <c r="E23" s="233"/>
      <c r="F23" s="234"/>
      <c r="G23" s="166"/>
      <c r="H23" s="166"/>
      <c r="T23" s="50" t="str">
        <f>R73</f>
        <v>Exptal</v>
      </c>
      <c r="U23" s="110"/>
      <c r="V23" s="110"/>
      <c r="W23" s="110"/>
      <c r="X23" s="110"/>
    </row>
    <row r="24" spans="1:27" ht="12.75" customHeight="1" x14ac:dyDescent="0.25">
      <c r="B24" s="340" t="s">
        <v>209</v>
      </c>
      <c r="T24" s="177" t="s">
        <v>161</v>
      </c>
      <c r="U24" s="50">
        <v>1.05</v>
      </c>
      <c r="V24" s="50">
        <v>2.0499999999999998</v>
      </c>
      <c r="W24" s="50">
        <v>3.05</v>
      </c>
      <c r="X24" s="50">
        <v>4.05</v>
      </c>
    </row>
    <row r="25" spans="1:27" ht="12.75" customHeight="1" x14ac:dyDescent="0.25">
      <c r="C25" s="292" t="s">
        <v>190</v>
      </c>
      <c r="D25" s="293" t="s">
        <v>192</v>
      </c>
      <c r="E25" s="284"/>
      <c r="J25" s="329" t="s">
        <v>206</v>
      </c>
      <c r="K25" s="293" t="s">
        <v>192</v>
      </c>
      <c r="T25" s="2" t="s">
        <v>151</v>
      </c>
      <c r="U25" s="1">
        <f>U98</f>
        <v>388.92148335634965</v>
      </c>
      <c r="V25" s="1">
        <f>V98</f>
        <v>397.25471631784046</v>
      </c>
      <c r="W25" s="1">
        <f>W98</f>
        <v>409.65715882886582</v>
      </c>
      <c r="X25" s="1">
        <f>X98</f>
        <v>403.79056434535511</v>
      </c>
    </row>
    <row r="26" spans="1:27" ht="12.75" customHeight="1" thickBot="1" x14ac:dyDescent="0.3">
      <c r="A26" s="22"/>
      <c r="B26" s="298"/>
      <c r="C26" s="299" t="s">
        <v>191</v>
      </c>
      <c r="D26" s="300" t="s">
        <v>195</v>
      </c>
      <c r="E26" s="301"/>
      <c r="F26" s="302"/>
      <c r="G26" s="302"/>
      <c r="I26" s="298"/>
      <c r="J26" s="330" t="s">
        <v>204</v>
      </c>
      <c r="K26" s="331" t="s">
        <v>205</v>
      </c>
      <c r="L26" s="22"/>
      <c r="T26" s="177" t="s">
        <v>152</v>
      </c>
      <c r="U26" s="257">
        <f>U25*U100-U25</f>
        <v>21.710549921182007</v>
      </c>
      <c r="V26" s="257">
        <f>V25*V100-V25</f>
        <v>23.66385909909269</v>
      </c>
      <c r="W26" s="257">
        <f>W25*W100-W25</f>
        <v>28.13863312789374</v>
      </c>
      <c r="X26" s="257">
        <f>X25*X100-X25</f>
        <v>23.698461234062108</v>
      </c>
    </row>
    <row r="27" spans="1:27" s="10" customFormat="1" ht="12.75" customHeight="1" x14ac:dyDescent="0.25">
      <c r="A27" s="22"/>
      <c r="B27" s="311" t="s">
        <v>169</v>
      </c>
      <c r="C27" s="288"/>
      <c r="D27" s="285" t="str">
        <f>IF(ISNUMBER(C27),-C27,"")</f>
        <v/>
      </c>
      <c r="E27" s="327" t="s">
        <v>184</v>
      </c>
      <c r="F27"/>
      <c r="G27"/>
      <c r="I27" s="311" t="s">
        <v>169</v>
      </c>
      <c r="J27" s="332" t="str">
        <f>IF(ISNUMBER(C30),C30*E113,"")</f>
        <v/>
      </c>
      <c r="K27" s="335" t="str">
        <f>IF(ISNUMBER(C30),D30*E113,"")</f>
        <v/>
      </c>
      <c r="L27" s="310"/>
      <c r="T27" s="177" t="s">
        <v>153</v>
      </c>
      <c r="U27" s="257">
        <f>U25-U25/U100</f>
        <v>20.562690183796235</v>
      </c>
      <c r="V27" s="257">
        <f>V25-V25/V100</f>
        <v>22.333487240575778</v>
      </c>
      <c r="W27" s="257">
        <f>W25-W25/W100</f>
        <v>26.330066922249614</v>
      </c>
      <c r="X27" s="257">
        <f>X25-X25/X100</f>
        <v>22.384703380042026</v>
      </c>
      <c r="Z27" s="95"/>
      <c r="AA27" s="280"/>
    </row>
    <row r="28" spans="1:27" s="10" customFormat="1" ht="12.75" customHeight="1" x14ac:dyDescent="0.25">
      <c r="A28" s="22"/>
      <c r="B28" s="312" t="s">
        <v>170</v>
      </c>
      <c r="C28" s="289"/>
      <c r="D28" s="286" t="str">
        <f>IF(ISNUMBER(C28),100/(1+C28/100)-100,"")</f>
        <v/>
      </c>
      <c r="E28" s="327" t="s">
        <v>185</v>
      </c>
      <c r="F28" s="281"/>
      <c r="I28" s="312" t="s">
        <v>170</v>
      </c>
      <c r="J28" s="333" t="str">
        <f>IF(ISNUMBER(C30),100*EXP(LN(U114)*C30)-100,"")</f>
        <v/>
      </c>
      <c r="K28" s="336" t="str">
        <f>IF(ISNUMBER(C30),100*EXP(LN(U114)*D30)-100,"")</f>
        <v/>
      </c>
      <c r="L28" s="310"/>
      <c r="Z28" s="95"/>
      <c r="AA28" s="280"/>
    </row>
    <row r="29" spans="1:27" s="10" customFormat="1" ht="12.75" customHeight="1" x14ac:dyDescent="0.25">
      <c r="A29" s="22"/>
      <c r="B29" s="312" t="s">
        <v>171</v>
      </c>
      <c r="C29" s="288"/>
      <c r="D29" s="285" t="str">
        <f>IF(ISNUMBER(C29),1/C29,"")</f>
        <v/>
      </c>
      <c r="E29" s="327" t="s">
        <v>185</v>
      </c>
      <c r="F29" s="281"/>
      <c r="I29" s="312" t="s">
        <v>171</v>
      </c>
      <c r="J29" s="332" t="str">
        <f>IF(ISNUMBER(C30),1+J28/100,"")</f>
        <v/>
      </c>
      <c r="K29" s="337" t="str">
        <f>IF(ISNUMBER(C30),1+K28/100,"")</f>
        <v/>
      </c>
      <c r="Z29" s="95"/>
      <c r="AA29" s="280"/>
    </row>
    <row r="30" spans="1:27" s="10" customFormat="1" ht="12.75" customHeight="1" thickBot="1" x14ac:dyDescent="0.3">
      <c r="A30" s="310"/>
      <c r="B30" s="313" t="s">
        <v>172</v>
      </c>
      <c r="C30" s="309"/>
      <c r="D30" s="316" t="str">
        <f>IF(ISNUMBER(C30),-C30,"")</f>
        <v/>
      </c>
      <c r="E30" s="328" t="s">
        <v>203</v>
      </c>
      <c r="F30" s="302"/>
      <c r="G30" s="317"/>
      <c r="I30" s="341" t="s">
        <v>210</v>
      </c>
      <c r="Z30" s="95"/>
      <c r="AA30" s="280"/>
    </row>
    <row r="31" spans="1:27" s="10" customFormat="1" ht="12.75" customHeight="1" x14ac:dyDescent="0.25">
      <c r="A31" s="310"/>
      <c r="B31" s="312" t="s">
        <v>174</v>
      </c>
      <c r="C31" s="287"/>
      <c r="D31" s="285" t="str">
        <f>IF(ISNUMBER(C31),1/C31,"")</f>
        <v/>
      </c>
      <c r="E31" s="327" t="s">
        <v>186</v>
      </c>
      <c r="F31" s="290"/>
      <c r="G31" s="290"/>
      <c r="I31" s="334"/>
      <c r="Z31" s="95"/>
      <c r="AA31" s="280"/>
    </row>
    <row r="32" spans="1:27" s="10" customFormat="1" ht="7.8" customHeight="1" x14ac:dyDescent="0.25">
      <c r="B32" s="303"/>
      <c r="C32" s="304"/>
      <c r="D32" s="339"/>
      <c r="E32" s="327"/>
      <c r="F32" s="290"/>
      <c r="G32" s="290"/>
      <c r="I32" s="334"/>
      <c r="Z32" s="95"/>
      <c r="AA32" s="280"/>
    </row>
    <row r="33" spans="1:31" s="10" customFormat="1" ht="12.75" customHeight="1" x14ac:dyDescent="0.3">
      <c r="D33" s="7" t="s">
        <v>130</v>
      </c>
      <c r="E33" s="305">
        <v>90</v>
      </c>
      <c r="J33" s="95"/>
      <c r="K33" s="280"/>
      <c r="Z33" s="95"/>
      <c r="AA33" s="280"/>
    </row>
    <row r="34" spans="1:31" s="10" customFormat="1" ht="12.75" customHeight="1" x14ac:dyDescent="0.3">
      <c r="A34" s="95"/>
      <c r="D34" s="291" t="s">
        <v>175</v>
      </c>
      <c r="E34" s="305">
        <v>1</v>
      </c>
      <c r="F34" s="95"/>
      <c r="J34" s="171"/>
      <c r="K34" s="280"/>
      <c r="L34" s="171"/>
      <c r="Z34" s="95"/>
      <c r="AA34" s="280"/>
    </row>
    <row r="35" spans="1:31" s="10" customFormat="1" ht="12.75" customHeight="1" x14ac:dyDescent="0.25">
      <c r="D35" s="291" t="s">
        <v>176</v>
      </c>
      <c r="E35" s="306">
        <f>100-(100-E33)/E34</f>
        <v>90</v>
      </c>
      <c r="I35" s="193"/>
      <c r="J35" s="194" t="s">
        <v>98</v>
      </c>
      <c r="K35" s="276"/>
      <c r="Y35" s="193"/>
      <c r="Z35" s="194" t="s">
        <v>98</v>
      </c>
      <c r="AA35" s="276"/>
    </row>
    <row r="36" spans="1:31" s="10" customFormat="1" ht="12.75" customHeight="1" x14ac:dyDescent="0.25">
      <c r="D36" s="291" t="s">
        <v>187</v>
      </c>
      <c r="E36" s="307">
        <f>(100-E35)/20</f>
        <v>0.5</v>
      </c>
      <c r="F36" s="95"/>
      <c r="I36"/>
      <c r="J36" s="171" t="s">
        <v>103</v>
      </c>
      <c r="K36" s="172">
        <f>D104</f>
        <v>9.1534738309100874</v>
      </c>
      <c r="Y36"/>
      <c r="Z36" s="171" t="s">
        <v>103</v>
      </c>
      <c r="AA36" s="172">
        <f>T104</f>
        <v>9.1534738309100874</v>
      </c>
    </row>
    <row r="37" spans="1:31" s="10" customFormat="1" ht="12.75" customHeight="1" x14ac:dyDescent="0.3">
      <c r="D37" s="291" t="s">
        <v>188</v>
      </c>
      <c r="E37" s="306">
        <f>E36*50</f>
        <v>25</v>
      </c>
      <c r="F37" s="95"/>
      <c r="G37" s="96"/>
      <c r="I37"/>
      <c r="J37" s="171" t="s">
        <v>104</v>
      </c>
      <c r="K37" s="172">
        <f>D105</f>
        <v>3.3054070053958764</v>
      </c>
      <c r="Y37"/>
      <c r="Z37" s="171" t="s">
        <v>104</v>
      </c>
      <c r="AA37" s="172">
        <f>T105</f>
        <v>3.3054070053958764</v>
      </c>
    </row>
    <row r="38" spans="1:31" s="10" customFormat="1" ht="12.75" customHeight="1" x14ac:dyDescent="0.3">
      <c r="D38" s="291" t="s">
        <v>196</v>
      </c>
      <c r="E38" s="308">
        <f>ROUND(E37/(100-E37)/(E36/(100-E36)),0)</f>
        <v>66</v>
      </c>
      <c r="F38" s="95"/>
      <c r="G38" s="96"/>
      <c r="I38" s="193"/>
      <c r="J38" s="194" t="s">
        <v>105</v>
      </c>
      <c r="K38" s="195"/>
      <c r="Y38" s="193"/>
      <c r="Z38" s="194" t="s">
        <v>105</v>
      </c>
      <c r="AA38" s="195"/>
    </row>
    <row r="39" spans="1:31" s="10" customFormat="1" ht="12.75" customHeight="1" x14ac:dyDescent="0.3">
      <c r="D39" s="291"/>
      <c r="E39" s="315"/>
      <c r="F39" s="95"/>
      <c r="G39" s="96"/>
      <c r="J39" s="95"/>
      <c r="K39" s="280"/>
      <c r="Z39" s="95"/>
      <c r="AA39" s="280"/>
    </row>
    <row r="40" spans="1:31" s="115" customFormat="1" ht="32.25" customHeight="1" x14ac:dyDescent="0.3">
      <c r="B40" s="440" t="s">
        <v>4</v>
      </c>
      <c r="C40" s="441"/>
      <c r="D40" s="165"/>
      <c r="E40" s="294" t="s">
        <v>50</v>
      </c>
      <c r="F40" s="294"/>
      <c r="G40" s="294"/>
      <c r="H40" s="294"/>
      <c r="I40" s="114"/>
      <c r="J40" s="114"/>
      <c r="K40" s="294" t="s">
        <v>49</v>
      </c>
      <c r="L40" s="294"/>
      <c r="M40" s="294"/>
      <c r="N40" s="294"/>
      <c r="O40" s="294"/>
      <c r="R40" s="440" t="s">
        <v>5</v>
      </c>
      <c r="S40" s="441"/>
      <c r="T40" s="165"/>
      <c r="U40" s="294" t="s">
        <v>50</v>
      </c>
      <c r="V40" s="294"/>
      <c r="W40" s="294"/>
      <c r="X40" s="294"/>
      <c r="Y40" s="114"/>
      <c r="Z40" s="114"/>
      <c r="AA40" s="294" t="s">
        <v>49</v>
      </c>
      <c r="AB40" s="294"/>
      <c r="AC40" s="294"/>
      <c r="AD40" s="294"/>
      <c r="AE40" s="294"/>
    </row>
    <row r="41" spans="1:31" s="115" customFormat="1" ht="27.6" x14ac:dyDescent="0.3">
      <c r="B41" s="116" t="s">
        <v>20</v>
      </c>
      <c r="C41" s="116" t="s">
        <v>0</v>
      </c>
      <c r="D41" s="117" t="s">
        <v>96</v>
      </c>
      <c r="E41" s="117" t="s">
        <v>164</v>
      </c>
      <c r="F41" s="117" t="s">
        <v>165</v>
      </c>
      <c r="G41" s="117" t="s">
        <v>166</v>
      </c>
      <c r="H41" s="117" t="s">
        <v>167</v>
      </c>
      <c r="I41" s="118" t="s">
        <v>45</v>
      </c>
      <c r="J41" s="118" t="s">
        <v>45</v>
      </c>
      <c r="K41" s="117" t="s">
        <v>68</v>
      </c>
      <c r="L41" s="117" t="s">
        <v>69</v>
      </c>
      <c r="M41" s="117" t="s">
        <v>70</v>
      </c>
      <c r="N41" s="117" t="s">
        <v>63</v>
      </c>
      <c r="O41" s="117" t="s">
        <v>23</v>
      </c>
      <c r="R41" s="116" t="str">
        <f t="shared" ref="R41:X41" si="2">B41</f>
        <v>Group</v>
      </c>
      <c r="S41" s="116" t="str">
        <f t="shared" si="2"/>
        <v>Name</v>
      </c>
      <c r="T41" s="119" t="str">
        <f t="shared" si="2"/>
        <v>X</v>
      </c>
      <c r="U41" s="119" t="str">
        <f t="shared" si="2"/>
        <v>Pre1</v>
      </c>
      <c r="V41" s="119" t="str">
        <f t="shared" si="2"/>
        <v>Pre2</v>
      </c>
      <c r="W41" s="119" t="str">
        <f t="shared" si="2"/>
        <v>Post1</v>
      </c>
      <c r="X41" s="119" t="str">
        <f t="shared" si="2"/>
        <v>Post2</v>
      </c>
      <c r="Y41" s="118" t="s">
        <v>45</v>
      </c>
      <c r="Z41" s="118" t="s">
        <v>45</v>
      </c>
      <c r="AA41" s="119" t="str">
        <f>K41</f>
        <v>Pre2-Pre1</v>
      </c>
      <c r="AB41" s="119" t="str">
        <f>L41</f>
        <v>Post1-Pre2</v>
      </c>
      <c r="AC41" s="119" t="str">
        <f>M41</f>
        <v>Post2-Pre2</v>
      </c>
      <c r="AD41" s="119" t="str">
        <f>N41</f>
        <v>Post2-Post1</v>
      </c>
      <c r="AE41" s="119" t="str">
        <f>O41</f>
        <v>other effect</v>
      </c>
    </row>
    <row r="42" spans="1:31" x14ac:dyDescent="0.25">
      <c r="B42" s="191" t="s">
        <v>21</v>
      </c>
      <c r="C42" s="191" t="s">
        <v>39</v>
      </c>
      <c r="D42" s="169">
        <v>6.7175377051765324</v>
      </c>
      <c r="E42" s="17">
        <v>421.15220708538993</v>
      </c>
      <c r="F42" s="17">
        <v>414.15045511684337</v>
      </c>
      <c r="G42" s="17">
        <v>428.08818515385622</v>
      </c>
      <c r="H42" s="17">
        <v>429.18051229162427</v>
      </c>
      <c r="J42" s="2"/>
      <c r="K42" s="3">
        <f t="shared" ref="K42:K61" si="3">IF(AND(ISNUMBER(F42),ISNUMBER(E42)),F42-E42,"miss")</f>
        <v>-7.0017519685465572</v>
      </c>
      <c r="L42" s="3">
        <f t="shared" ref="L42:L61" si="4">IF(AND(ISNUMBER(G42),ISNUMBER(F42)),G42-F42,"miss")</f>
        <v>13.937730037012841</v>
      </c>
      <c r="M42" s="3">
        <f t="shared" ref="M42:M61" si="5">IF(AND(ISNUMBER(H42),ISNUMBER(F42)),H42-F42,"miss")</f>
        <v>15.030057174780893</v>
      </c>
      <c r="N42" s="3">
        <f t="shared" ref="N42:N61" si="6">IF(AND(ISNUMBER(H42),ISNUMBER(G42)),H42-G42,"miss")</f>
        <v>1.0923271377680521</v>
      </c>
      <c r="O42" s="3"/>
      <c r="R42" s="191" t="str">
        <f t="shared" ref="R42:R61" si="7">B42</f>
        <v>Control</v>
      </c>
      <c r="S42" s="191" t="str">
        <f t="shared" ref="S42:S61" si="8">C42</f>
        <v>Alex</v>
      </c>
      <c r="T42" s="177">
        <f>IF(ISNUMBER(D42),D42,"miss")</f>
        <v>6.7175377051765324</v>
      </c>
      <c r="U42" s="3">
        <f t="shared" ref="U42:U61" si="9">IF(ISERROR(100*LN(E42)),"miss",100*LN(E42))</f>
        <v>604.29943053635498</v>
      </c>
      <c r="V42" s="3">
        <f t="shared" ref="V42:V61" si="10">IF(ISERROR(100*LN(F42)),"miss",100*LN(F42))</f>
        <v>602.62293259615569</v>
      </c>
      <c r="W42" s="3">
        <f t="shared" ref="W42:W61" si="11">IF(ISERROR(100*LN(G42)),"miss",100*LN(G42))</f>
        <v>605.93292144375584</v>
      </c>
      <c r="X42" s="3">
        <f t="shared" ref="X42:X61" si="12">IF(ISERROR(100*LN(H42)),"miss",100*LN(H42))</f>
        <v>606.18776049997723</v>
      </c>
      <c r="Y42" s="3"/>
      <c r="Z42" s="3"/>
      <c r="AA42" s="3">
        <f t="shared" ref="AA42:AA61" si="13">IF(AND(ISNUMBER(V42),ISNUMBER(U42)),V42-U42,"miss")</f>
        <v>-1.6764979401992832</v>
      </c>
      <c r="AB42" s="3">
        <f t="shared" ref="AB42:AB61" si="14">IF(AND(ISNUMBER(W42),ISNUMBER(V42)),W42-V42,"miss")</f>
        <v>3.3099888476001524</v>
      </c>
      <c r="AC42" s="3">
        <f t="shared" ref="AC42:AC61" si="15">IF(AND(ISNUMBER(X42),ISNUMBER(V42)),X42-V42,"miss")</f>
        <v>3.5648279038215378</v>
      </c>
      <c r="AD42" s="3">
        <f t="shared" ref="AD42:AD61" si="16">IF(AND(ISNUMBER(X42),ISNUMBER(W42)),X42-W42,"miss")</f>
        <v>0.25483905622138536</v>
      </c>
      <c r="AE42" s="3"/>
    </row>
    <row r="43" spans="1:31" x14ac:dyDescent="0.25">
      <c r="B43" s="192" t="str">
        <f t="shared" ref="B43:B61" si="17">B42</f>
        <v>Control</v>
      </c>
      <c r="C43" s="191" t="s">
        <v>82</v>
      </c>
      <c r="D43" s="169">
        <v>12.448248175011013</v>
      </c>
      <c r="E43" s="17">
        <v>406.82859238879462</v>
      </c>
      <c r="F43" s="17">
        <v>412.77534642735549</v>
      </c>
      <c r="G43" s="17">
        <v>409.51605372641359</v>
      </c>
      <c r="H43" s="17">
        <v>412.00275981273194</v>
      </c>
      <c r="J43" s="2"/>
      <c r="K43" s="3">
        <f t="shared" si="3"/>
        <v>5.9467540385608686</v>
      </c>
      <c r="L43" s="3">
        <f t="shared" si="4"/>
        <v>-3.2592927009418986</v>
      </c>
      <c r="M43" s="3">
        <f t="shared" si="5"/>
        <v>-0.77258661462354894</v>
      </c>
      <c r="N43" s="3">
        <f t="shared" si="6"/>
        <v>2.4867060863183497</v>
      </c>
      <c r="O43" s="3"/>
      <c r="R43" s="192" t="str">
        <f t="shared" si="7"/>
        <v>Control</v>
      </c>
      <c r="S43" s="191" t="str">
        <f t="shared" si="8"/>
        <v>Ariel</v>
      </c>
      <c r="T43" s="177">
        <f t="shared" ref="T43:T61" si="18">IF(ISNUMBER(D43),D43,"miss")</f>
        <v>12.448248175011013</v>
      </c>
      <c r="U43" s="3">
        <f t="shared" si="9"/>
        <v>600.83919478126006</v>
      </c>
      <c r="V43" s="3">
        <f t="shared" si="10"/>
        <v>602.29034895819268</v>
      </c>
      <c r="W43" s="3">
        <f t="shared" si="11"/>
        <v>601.49761057638023</v>
      </c>
      <c r="X43" s="3">
        <f t="shared" si="12"/>
        <v>602.10300479016837</v>
      </c>
      <c r="Y43" s="3"/>
      <c r="Z43" s="3"/>
      <c r="AA43" s="3">
        <f t="shared" si="13"/>
        <v>1.4511541769326186</v>
      </c>
      <c r="AB43" s="3">
        <f t="shared" si="14"/>
        <v>-0.79273838181245537</v>
      </c>
      <c r="AC43" s="3">
        <f t="shared" si="15"/>
        <v>-0.18734416802431042</v>
      </c>
      <c r="AD43" s="3">
        <f t="shared" si="16"/>
        <v>0.60539421378814495</v>
      </c>
      <c r="AE43" s="3"/>
    </row>
    <row r="44" spans="1:31" x14ac:dyDescent="0.25">
      <c r="B44" s="192" t="str">
        <f t="shared" si="17"/>
        <v>Control</v>
      </c>
      <c r="C44" s="191" t="s">
        <v>83</v>
      </c>
      <c r="D44" s="169">
        <v>4.5211193081484939</v>
      </c>
      <c r="E44" s="17">
        <v>373.55683585463862</v>
      </c>
      <c r="F44" s="17">
        <v>386.84265468014911</v>
      </c>
      <c r="G44" s="17">
        <v>397.40545229769737</v>
      </c>
      <c r="H44" s="17">
        <v>388.55567187853262</v>
      </c>
      <c r="J44" s="2"/>
      <c r="K44" s="3">
        <f t="shared" si="3"/>
        <v>13.285818825510489</v>
      </c>
      <c r="L44" s="3">
        <f t="shared" si="4"/>
        <v>10.562797617548256</v>
      </c>
      <c r="M44" s="3">
        <f t="shared" si="5"/>
        <v>1.7130171983835112</v>
      </c>
      <c r="N44" s="3">
        <f t="shared" si="6"/>
        <v>-8.8497804191647447</v>
      </c>
      <c r="O44" s="3"/>
      <c r="R44" s="192" t="str">
        <f t="shared" si="7"/>
        <v>Control</v>
      </c>
      <c r="S44" s="191" t="str">
        <f t="shared" si="8"/>
        <v>Ashley</v>
      </c>
      <c r="T44" s="177">
        <f t="shared" si="18"/>
        <v>4.5211193081484939</v>
      </c>
      <c r="U44" s="3">
        <f t="shared" si="9"/>
        <v>592.30701639589336</v>
      </c>
      <c r="V44" s="3">
        <f t="shared" si="10"/>
        <v>595.80180333010424</v>
      </c>
      <c r="W44" s="3">
        <f t="shared" si="11"/>
        <v>598.49570499473475</v>
      </c>
      <c r="X44" s="3">
        <f t="shared" si="12"/>
        <v>596.24364590999437</v>
      </c>
      <c r="Y44" s="3"/>
      <c r="Z44" s="3"/>
      <c r="AA44" s="3">
        <f t="shared" si="13"/>
        <v>3.4947869342108788</v>
      </c>
      <c r="AB44" s="3">
        <f t="shared" si="14"/>
        <v>2.6939016646305163</v>
      </c>
      <c r="AC44" s="3">
        <f t="shared" si="15"/>
        <v>0.44184257989013531</v>
      </c>
      <c r="AD44" s="3">
        <f t="shared" si="16"/>
        <v>-2.252059084740381</v>
      </c>
      <c r="AE44" s="3"/>
    </row>
    <row r="45" spans="1:31" x14ac:dyDescent="0.25">
      <c r="B45" s="192" t="str">
        <f t="shared" si="17"/>
        <v>Control</v>
      </c>
      <c r="C45" s="191" t="s">
        <v>84</v>
      </c>
      <c r="D45" s="169">
        <v>8.2679289743212188</v>
      </c>
      <c r="E45" s="17">
        <v>394.05080812926701</v>
      </c>
      <c r="F45" s="17">
        <v>426.9817790999283</v>
      </c>
      <c r="G45" s="17">
        <v>439.19569317340256</v>
      </c>
      <c r="H45" s="17">
        <v>424.74282695986687</v>
      </c>
      <c r="J45" s="2"/>
      <c r="K45" s="3">
        <f t="shared" si="3"/>
        <v>32.930970970661292</v>
      </c>
      <c r="L45" s="3">
        <f t="shared" si="4"/>
        <v>12.213914073474257</v>
      </c>
      <c r="M45" s="3">
        <f t="shared" si="5"/>
        <v>-2.2389521400614285</v>
      </c>
      <c r="N45" s="3">
        <f t="shared" si="6"/>
        <v>-14.452866213535685</v>
      </c>
      <c r="O45" s="3"/>
      <c r="R45" s="192" t="str">
        <f t="shared" si="7"/>
        <v>Control</v>
      </c>
      <c r="S45" s="191" t="str">
        <f t="shared" si="8"/>
        <v>Bernie</v>
      </c>
      <c r="T45" s="177">
        <f t="shared" si="18"/>
        <v>8.2679289743212188</v>
      </c>
      <c r="U45" s="3">
        <f t="shared" si="9"/>
        <v>597.64798556268079</v>
      </c>
      <c r="V45" s="3">
        <f t="shared" si="10"/>
        <v>605.67413404210299</v>
      </c>
      <c r="W45" s="3">
        <f t="shared" si="11"/>
        <v>608.49450840757527</v>
      </c>
      <c r="X45" s="3">
        <f t="shared" si="12"/>
        <v>605.1483872734027</v>
      </c>
      <c r="Y45" s="3"/>
      <c r="Z45" s="3"/>
      <c r="AA45" s="3">
        <f t="shared" si="13"/>
        <v>8.0261484794222042</v>
      </c>
      <c r="AB45" s="3">
        <f t="shared" si="14"/>
        <v>2.8203743654722757</v>
      </c>
      <c r="AC45" s="3">
        <f t="shared" si="15"/>
        <v>-0.52574676870028725</v>
      </c>
      <c r="AD45" s="3">
        <f t="shared" si="16"/>
        <v>-3.346121134172563</v>
      </c>
      <c r="AE45" s="3"/>
    </row>
    <row r="46" spans="1:31" x14ac:dyDescent="0.25">
      <c r="B46" s="192" t="str">
        <f t="shared" si="17"/>
        <v>Control</v>
      </c>
      <c r="C46" s="191" t="s">
        <v>85</v>
      </c>
      <c r="D46" s="169">
        <v>10.863284349957977</v>
      </c>
      <c r="E46" s="17">
        <v>424.96141120914672</v>
      </c>
      <c r="F46" s="17">
        <v>406.05700850941878</v>
      </c>
      <c r="G46" s="17">
        <v>408.37588861538552</v>
      </c>
      <c r="H46" s="17">
        <v>427.12302888663174</v>
      </c>
      <c r="J46" s="2"/>
      <c r="K46" s="3">
        <f t="shared" si="3"/>
        <v>-18.904402699727939</v>
      </c>
      <c r="L46" s="3">
        <f t="shared" si="4"/>
        <v>2.3188801059667412</v>
      </c>
      <c r="M46" s="3">
        <f t="shared" si="5"/>
        <v>21.066020377212965</v>
      </c>
      <c r="N46" s="3">
        <f t="shared" si="6"/>
        <v>18.747140271246224</v>
      </c>
      <c r="O46" s="3"/>
      <c r="R46" s="192" t="str">
        <f t="shared" si="7"/>
        <v>Control</v>
      </c>
      <c r="S46" s="191" t="str">
        <f t="shared" si="8"/>
        <v>Casey</v>
      </c>
      <c r="T46" s="177">
        <f t="shared" si="18"/>
        <v>10.863284349957977</v>
      </c>
      <c r="U46" s="3">
        <f t="shared" si="9"/>
        <v>605.19983676471566</v>
      </c>
      <c r="V46" s="3">
        <f t="shared" si="10"/>
        <v>600.64935647922914</v>
      </c>
      <c r="W46" s="3">
        <f t="shared" si="11"/>
        <v>601.21880458977716</v>
      </c>
      <c r="X46" s="3">
        <f t="shared" si="12"/>
        <v>605.70720955851982</v>
      </c>
      <c r="Y46" s="3"/>
      <c r="Z46" s="3"/>
      <c r="AA46" s="3">
        <f t="shared" si="13"/>
        <v>-4.5504802854865147</v>
      </c>
      <c r="AB46" s="3">
        <f t="shared" si="14"/>
        <v>0.56944811054802358</v>
      </c>
      <c r="AC46" s="3">
        <f t="shared" si="15"/>
        <v>5.0578530792906804</v>
      </c>
      <c r="AD46" s="3">
        <f t="shared" si="16"/>
        <v>4.4884049687426568</v>
      </c>
      <c r="AE46" s="3"/>
    </row>
    <row r="47" spans="1:31" x14ac:dyDescent="0.25">
      <c r="B47" s="192" t="str">
        <f t="shared" si="17"/>
        <v>Control</v>
      </c>
      <c r="C47" s="191" t="s">
        <v>28</v>
      </c>
      <c r="D47" s="169">
        <v>5.3635668190665875</v>
      </c>
      <c r="E47" s="17">
        <v>368.4376399898988</v>
      </c>
      <c r="F47" s="17">
        <v>375.23068902337712</v>
      </c>
      <c r="G47" s="17">
        <v>395.08299236315474</v>
      </c>
      <c r="H47" s="17">
        <v>383.26999824435825</v>
      </c>
      <c r="J47" s="2"/>
      <c r="K47" s="3">
        <f t="shared" si="3"/>
        <v>6.7930490334783258</v>
      </c>
      <c r="L47" s="3">
        <f t="shared" si="4"/>
        <v>19.85230333977762</v>
      </c>
      <c r="M47" s="3">
        <f t="shared" si="5"/>
        <v>8.0393092209811243</v>
      </c>
      <c r="N47" s="3">
        <f t="shared" si="6"/>
        <v>-11.812994118796496</v>
      </c>
      <c r="O47" s="3"/>
      <c r="R47" s="192" t="str">
        <f t="shared" si="7"/>
        <v>Control</v>
      </c>
      <c r="S47" s="191" t="str">
        <f t="shared" si="8"/>
        <v>Chris</v>
      </c>
      <c r="T47" s="177">
        <f t="shared" si="18"/>
        <v>5.3635668190665875</v>
      </c>
      <c r="U47" s="3">
        <f t="shared" si="9"/>
        <v>590.9271470687238</v>
      </c>
      <c r="V47" s="3">
        <f t="shared" si="10"/>
        <v>592.75410075594687</v>
      </c>
      <c r="W47" s="3">
        <f t="shared" si="11"/>
        <v>597.90958500801776</v>
      </c>
      <c r="X47" s="3">
        <f t="shared" si="12"/>
        <v>594.87396970672933</v>
      </c>
      <c r="Y47" s="3"/>
      <c r="Z47" s="3"/>
      <c r="AA47" s="3">
        <f t="shared" si="13"/>
        <v>1.8269536872230674</v>
      </c>
      <c r="AB47" s="3">
        <f t="shared" si="14"/>
        <v>5.1554842520708917</v>
      </c>
      <c r="AC47" s="3">
        <f t="shared" si="15"/>
        <v>2.1198689507824611</v>
      </c>
      <c r="AD47" s="3">
        <f t="shared" si="16"/>
        <v>-3.0356153012884306</v>
      </c>
      <c r="AE47" s="3"/>
    </row>
    <row r="48" spans="1:31" x14ac:dyDescent="0.25">
      <c r="B48" s="192" t="str">
        <f t="shared" si="17"/>
        <v>Control</v>
      </c>
      <c r="C48" s="191" t="s">
        <v>86</v>
      </c>
      <c r="D48" s="170">
        <v>8.8859934695136555</v>
      </c>
      <c r="E48" s="17">
        <v>429.43286453096505</v>
      </c>
      <c r="F48" s="17">
        <v>423.95197430039144</v>
      </c>
      <c r="G48" s="17">
        <v>428.02019463232676</v>
      </c>
      <c r="H48" s="17">
        <v>445.51418970158915</v>
      </c>
      <c r="J48" s="2"/>
      <c r="K48" s="3">
        <f t="shared" si="3"/>
        <v>-5.4808902305736069</v>
      </c>
      <c r="L48" s="3">
        <f t="shared" si="4"/>
        <v>4.0682203319353221</v>
      </c>
      <c r="M48" s="3">
        <f t="shared" si="5"/>
        <v>21.562215401197705</v>
      </c>
      <c r="N48" s="3">
        <f>IF(AND(ISNUMBER(H48),ISNUMBER(G48)),H48-G48,"miss")</f>
        <v>17.493995069262382</v>
      </c>
      <c r="O48" s="3"/>
      <c r="R48" s="192" t="str">
        <f t="shared" si="7"/>
        <v>Control</v>
      </c>
      <c r="S48" s="191" t="str">
        <f t="shared" si="8"/>
        <v>Corey</v>
      </c>
      <c r="T48" s="177">
        <f t="shared" si="18"/>
        <v>8.8859934695136555</v>
      </c>
      <c r="U48" s="3">
        <f t="shared" si="9"/>
        <v>606.24654184520637</v>
      </c>
      <c r="V48" s="3">
        <f t="shared" si="10"/>
        <v>604.9620180657181</v>
      </c>
      <c r="W48" s="3">
        <f t="shared" si="11"/>
        <v>605.91703781890692</v>
      </c>
      <c r="X48" s="3">
        <f t="shared" si="12"/>
        <v>609.9229097585644</v>
      </c>
      <c r="Y48" s="3"/>
      <c r="Z48" s="3"/>
      <c r="AA48" s="3">
        <f t="shared" si="13"/>
        <v>-1.2845237794882678</v>
      </c>
      <c r="AB48" s="3">
        <f t="shared" si="14"/>
        <v>0.9550197531888216</v>
      </c>
      <c r="AC48" s="3">
        <f t="shared" si="15"/>
        <v>4.9608916928463032</v>
      </c>
      <c r="AD48" s="3">
        <f t="shared" si="16"/>
        <v>4.0058719396574816</v>
      </c>
      <c r="AE48" s="3"/>
    </row>
    <row r="49" spans="2:31" x14ac:dyDescent="0.25">
      <c r="B49" s="192" t="str">
        <f t="shared" si="17"/>
        <v>Control</v>
      </c>
      <c r="C49" s="191" t="s">
        <v>29</v>
      </c>
      <c r="D49" s="170">
        <v>9.2311246047874587</v>
      </c>
      <c r="E49" s="17">
        <v>423.17009833999981</v>
      </c>
      <c r="F49" s="17">
        <v>415.90855812360314</v>
      </c>
      <c r="G49" s="17">
        <v>430.18168431335005</v>
      </c>
      <c r="H49" s="17">
        <v>416.86155889936941</v>
      </c>
      <c r="J49" s="2"/>
      <c r="K49" s="3">
        <f t="shared" si="3"/>
        <v>-7.2615402163966678</v>
      </c>
      <c r="L49" s="3">
        <f t="shared" si="4"/>
        <v>14.273126189746904</v>
      </c>
      <c r="M49" s="3">
        <f t="shared" si="5"/>
        <v>0.95300077576627018</v>
      </c>
      <c r="N49" s="3">
        <f t="shared" si="6"/>
        <v>-13.320125413980634</v>
      </c>
      <c r="O49" s="3"/>
      <c r="R49" s="192" t="str">
        <f t="shared" si="7"/>
        <v>Control</v>
      </c>
      <c r="S49" s="191" t="str">
        <f t="shared" si="8"/>
        <v>Courtney</v>
      </c>
      <c r="T49" s="177">
        <f t="shared" si="18"/>
        <v>9.2311246047874587</v>
      </c>
      <c r="U49" s="3">
        <f t="shared" si="9"/>
        <v>604.77742219514209</v>
      </c>
      <c r="V49" s="3">
        <f t="shared" si="10"/>
        <v>603.04654238961439</v>
      </c>
      <c r="W49" s="3">
        <f t="shared" si="11"/>
        <v>606.42076411094217</v>
      </c>
      <c r="X49" s="3">
        <f t="shared" si="12"/>
        <v>603.27541736298338</v>
      </c>
      <c r="Y49" s="3"/>
      <c r="Z49" s="3"/>
      <c r="AA49" s="3">
        <f t="shared" si="13"/>
        <v>-1.7308798055277066</v>
      </c>
      <c r="AB49" s="3">
        <f t="shared" si="14"/>
        <v>3.3742217213277854</v>
      </c>
      <c r="AC49" s="3">
        <f t="shared" si="15"/>
        <v>0.22887497336898832</v>
      </c>
      <c r="AD49" s="3">
        <f t="shared" si="16"/>
        <v>-3.1453467479587971</v>
      </c>
      <c r="AE49" s="3"/>
    </row>
    <row r="50" spans="2:31" x14ac:dyDescent="0.25">
      <c r="B50" s="192" t="str">
        <f t="shared" si="17"/>
        <v>Control</v>
      </c>
      <c r="C50" s="191" t="s">
        <v>87</v>
      </c>
      <c r="D50" s="170">
        <v>5.8499177906865114</v>
      </c>
      <c r="E50" s="17">
        <v>408.55184273282003</v>
      </c>
      <c r="F50" s="17">
        <v>421.9079636076508</v>
      </c>
      <c r="G50" s="17">
        <v>427.57081139797981</v>
      </c>
      <c r="H50" s="17">
        <v>430.38011767177761</v>
      </c>
      <c r="J50" s="2"/>
      <c r="K50" s="3">
        <f t="shared" si="3"/>
        <v>13.356120874830765</v>
      </c>
      <c r="L50" s="3">
        <f t="shared" si="4"/>
        <v>5.6628477903290104</v>
      </c>
      <c r="M50" s="3">
        <f t="shared" si="5"/>
        <v>8.472154064126812</v>
      </c>
      <c r="N50" s="3">
        <f t="shared" si="6"/>
        <v>2.8093062737978016</v>
      </c>
      <c r="O50" s="3"/>
      <c r="R50" s="192" t="str">
        <f t="shared" si="7"/>
        <v>Control</v>
      </c>
      <c r="S50" s="191" t="str">
        <f t="shared" si="8"/>
        <v>Devon</v>
      </c>
      <c r="T50" s="177">
        <f t="shared" si="18"/>
        <v>5.8499177906865114</v>
      </c>
      <c r="U50" s="3">
        <f t="shared" si="9"/>
        <v>601.26188162423284</v>
      </c>
      <c r="V50" s="3">
        <f t="shared" si="10"/>
        <v>604.47871945332145</v>
      </c>
      <c r="W50" s="3">
        <f t="shared" si="11"/>
        <v>605.81199153569378</v>
      </c>
      <c r="X50" s="3">
        <f t="shared" si="12"/>
        <v>606.4668812780036</v>
      </c>
      <c r="Y50" s="3"/>
      <c r="Z50" s="3"/>
      <c r="AA50" s="3">
        <f t="shared" si="13"/>
        <v>3.2168378290886039</v>
      </c>
      <c r="AB50" s="3">
        <f t="shared" si="14"/>
        <v>1.3332720823723321</v>
      </c>
      <c r="AC50" s="3">
        <f t="shared" si="15"/>
        <v>1.9881618246821517</v>
      </c>
      <c r="AD50" s="3">
        <f t="shared" si="16"/>
        <v>0.65488974230981967</v>
      </c>
      <c r="AE50" s="3"/>
    </row>
    <row r="51" spans="2:31" x14ac:dyDescent="0.25">
      <c r="B51" s="192" t="str">
        <f t="shared" si="17"/>
        <v>Control</v>
      </c>
      <c r="C51" s="191" t="s">
        <v>30</v>
      </c>
      <c r="D51" s="170">
        <v>11.343867989039783</v>
      </c>
      <c r="E51" s="17">
        <v>377.24395794199415</v>
      </c>
      <c r="F51" s="17">
        <v>386.44377575742067</v>
      </c>
      <c r="G51" s="17">
        <v>377.32999470417485</v>
      </c>
      <c r="H51" s="17">
        <v>381.1451054606718</v>
      </c>
      <c r="J51" s="2"/>
      <c r="K51" s="3">
        <f t="shared" si="3"/>
        <v>9.1998178154265133</v>
      </c>
      <c r="L51" s="3">
        <f t="shared" si="4"/>
        <v>-9.1137810532458161</v>
      </c>
      <c r="M51" s="3">
        <f t="shared" si="5"/>
        <v>-5.2986702967488668</v>
      </c>
      <c r="N51" s="3">
        <f t="shared" si="6"/>
        <v>3.8151107564969493</v>
      </c>
      <c r="O51" s="3"/>
      <c r="R51" s="192" t="str">
        <f t="shared" si="7"/>
        <v>Control</v>
      </c>
      <c r="S51" s="191" t="str">
        <f t="shared" si="8"/>
        <v>Drew</v>
      </c>
      <c r="T51" s="177">
        <f t="shared" si="18"/>
        <v>11.343867989039783</v>
      </c>
      <c r="U51" s="3">
        <f t="shared" si="9"/>
        <v>593.28920814613673</v>
      </c>
      <c r="V51" s="3">
        <f t="shared" si="10"/>
        <v>595.69863872190604</v>
      </c>
      <c r="W51" s="3">
        <f t="shared" si="11"/>
        <v>593.31201220987418</v>
      </c>
      <c r="X51" s="3">
        <f t="shared" si="12"/>
        <v>594.31801568476237</v>
      </c>
      <c r="Y51" s="3"/>
      <c r="Z51" s="3"/>
      <c r="AA51" s="3">
        <f t="shared" si="13"/>
        <v>2.4094305757693064</v>
      </c>
      <c r="AB51" s="3">
        <f t="shared" si="14"/>
        <v>-2.3866265120318531</v>
      </c>
      <c r="AC51" s="3">
        <f t="shared" si="15"/>
        <v>-1.3806230371436641</v>
      </c>
      <c r="AD51" s="3">
        <f t="shared" si="16"/>
        <v>1.006003474888189</v>
      </c>
      <c r="AE51" s="3"/>
    </row>
    <row r="52" spans="2:31" x14ac:dyDescent="0.25">
      <c r="B52" s="192" t="str">
        <f t="shared" si="17"/>
        <v>Control</v>
      </c>
      <c r="C52" s="191" t="s">
        <v>42</v>
      </c>
      <c r="D52" s="170">
        <v>14.069884777911053</v>
      </c>
      <c r="E52" s="17">
        <v>387.12390968129773</v>
      </c>
      <c r="F52" s="17">
        <v>376.99924508254549</v>
      </c>
      <c r="G52" s="17">
        <v>410.39869499577117</v>
      </c>
      <c r="H52" s="17">
        <v>382.44461737532811</v>
      </c>
      <c r="J52" s="2"/>
      <c r="K52" s="3">
        <f t="shared" si="3"/>
        <v>-10.124664598752247</v>
      </c>
      <c r="L52" s="3">
        <f t="shared" si="4"/>
        <v>33.399449913225681</v>
      </c>
      <c r="M52" s="3">
        <f t="shared" si="5"/>
        <v>5.445372292782622</v>
      </c>
      <c r="N52" s="3">
        <f t="shared" si="6"/>
        <v>-27.954077620443059</v>
      </c>
      <c r="O52" s="3"/>
      <c r="R52" s="192" t="str">
        <f t="shared" si="7"/>
        <v>Control</v>
      </c>
      <c r="S52" s="191" t="str">
        <f t="shared" si="8"/>
        <v>Dylan</v>
      </c>
      <c r="T52" s="177">
        <f t="shared" si="18"/>
        <v>14.069884777911053</v>
      </c>
      <c r="U52" s="3">
        <f t="shared" si="9"/>
        <v>595.87448218381201</v>
      </c>
      <c r="V52" s="3">
        <f t="shared" si="10"/>
        <v>593.22431850124394</v>
      </c>
      <c r="W52" s="3">
        <f t="shared" si="11"/>
        <v>601.71291140166386</v>
      </c>
      <c r="X52" s="3">
        <f t="shared" si="12"/>
        <v>594.65838516077235</v>
      </c>
      <c r="Y52" s="3"/>
      <c r="Z52" s="3"/>
      <c r="AA52" s="3">
        <f t="shared" si="13"/>
        <v>-2.6501636825680635</v>
      </c>
      <c r="AB52" s="3">
        <f t="shared" si="14"/>
        <v>8.488592900419917</v>
      </c>
      <c r="AC52" s="3">
        <f t="shared" si="15"/>
        <v>1.4340666595284119</v>
      </c>
      <c r="AD52" s="3">
        <f t="shared" si="16"/>
        <v>-7.054526240891505</v>
      </c>
      <c r="AE52" s="3"/>
    </row>
    <row r="53" spans="2:31" x14ac:dyDescent="0.25">
      <c r="B53" s="192" t="str">
        <f t="shared" si="17"/>
        <v>Control</v>
      </c>
      <c r="C53" s="191" t="s">
        <v>88</v>
      </c>
      <c r="D53" s="170">
        <v>10.439691716577061</v>
      </c>
      <c r="E53" s="17">
        <v>399.24803568739912</v>
      </c>
      <c r="F53" s="17">
        <v>417.99837501300863</v>
      </c>
      <c r="G53" s="17">
        <v>432.81472097984619</v>
      </c>
      <c r="H53" s="17">
        <v>418.5473889663686</v>
      </c>
      <c r="J53" s="2"/>
      <c r="K53" s="3">
        <f t="shared" si="3"/>
        <v>18.750339325609502</v>
      </c>
      <c r="L53" s="3">
        <f t="shared" si="4"/>
        <v>14.816345966837559</v>
      </c>
      <c r="M53" s="3">
        <f t="shared" si="5"/>
        <v>0.54901395335997449</v>
      </c>
      <c r="N53" s="3">
        <f t="shared" si="6"/>
        <v>-14.267332013477585</v>
      </c>
      <c r="O53" s="3"/>
      <c r="R53" s="192" t="str">
        <f t="shared" si="7"/>
        <v>Control</v>
      </c>
      <c r="S53" s="191" t="str">
        <f t="shared" si="8"/>
        <v>Frances</v>
      </c>
      <c r="T53" s="177">
        <f t="shared" si="18"/>
        <v>10.439691716577061</v>
      </c>
      <c r="U53" s="3">
        <f t="shared" si="9"/>
        <v>598.95828670765047</v>
      </c>
      <c r="V53" s="3">
        <f t="shared" si="10"/>
        <v>603.54775449885119</v>
      </c>
      <c r="W53" s="3">
        <f t="shared" si="11"/>
        <v>607.03097403083734</v>
      </c>
      <c r="X53" s="3">
        <f t="shared" si="12"/>
        <v>603.6790118802935</v>
      </c>
      <c r="Y53" s="3"/>
      <c r="Z53" s="3"/>
      <c r="AA53" s="3">
        <f t="shared" si="13"/>
        <v>4.5894677912007182</v>
      </c>
      <c r="AB53" s="3">
        <f t="shared" si="14"/>
        <v>3.4832195319861512</v>
      </c>
      <c r="AC53" s="3">
        <f t="shared" si="15"/>
        <v>0.13125738144231036</v>
      </c>
      <c r="AD53" s="3">
        <f t="shared" si="16"/>
        <v>-3.3519621505438408</v>
      </c>
      <c r="AE53" s="3"/>
    </row>
    <row r="54" spans="2:31" x14ac:dyDescent="0.25">
      <c r="B54" s="192" t="str">
        <f t="shared" si="17"/>
        <v>Control</v>
      </c>
      <c r="C54" s="191" t="s">
        <v>89</v>
      </c>
      <c r="D54" s="170">
        <v>11.606240650890557</v>
      </c>
      <c r="E54" s="17">
        <v>394.26318161301589</v>
      </c>
      <c r="F54" s="17">
        <v>387.74945590483304</v>
      </c>
      <c r="G54" s="17">
        <v>380.35880855752691</v>
      </c>
      <c r="H54" s="17">
        <v>386.3156641318655</v>
      </c>
      <c r="J54" s="2"/>
      <c r="K54" s="3">
        <f t="shared" si="3"/>
        <v>-6.5137257081828466</v>
      </c>
      <c r="L54" s="3">
        <f t="shared" si="4"/>
        <v>-7.3906473473061283</v>
      </c>
      <c r="M54" s="3">
        <f t="shared" si="5"/>
        <v>-1.4337917729675382</v>
      </c>
      <c r="N54" s="3">
        <f t="shared" si="6"/>
        <v>5.95685557433859</v>
      </c>
      <c r="O54" s="3"/>
      <c r="R54" s="192" t="str">
        <f t="shared" si="7"/>
        <v>Control</v>
      </c>
      <c r="S54" s="191" t="str">
        <f t="shared" si="8"/>
        <v>Gene</v>
      </c>
      <c r="T54" s="177">
        <f t="shared" si="18"/>
        <v>11.606240650890557</v>
      </c>
      <c r="U54" s="3">
        <f t="shared" si="9"/>
        <v>597.70186599399381</v>
      </c>
      <c r="V54" s="3">
        <f t="shared" si="10"/>
        <v>596.03593988444015</v>
      </c>
      <c r="W54" s="3">
        <f t="shared" si="11"/>
        <v>594.11150402589521</v>
      </c>
      <c r="X54" s="3">
        <f t="shared" si="12"/>
        <v>595.66548179877691</v>
      </c>
      <c r="Y54" s="3"/>
      <c r="Z54" s="3"/>
      <c r="AA54" s="3">
        <f t="shared" si="13"/>
        <v>-1.6659261095536522</v>
      </c>
      <c r="AB54" s="3">
        <f t="shared" si="14"/>
        <v>-1.924435858544939</v>
      </c>
      <c r="AC54" s="3">
        <f t="shared" si="15"/>
        <v>-0.37045808566324467</v>
      </c>
      <c r="AD54" s="3">
        <f t="shared" si="16"/>
        <v>1.5539777728816944</v>
      </c>
      <c r="AE54" s="3"/>
    </row>
    <row r="55" spans="2:31" x14ac:dyDescent="0.25">
      <c r="B55" s="192" t="str">
        <f t="shared" si="17"/>
        <v>Control</v>
      </c>
      <c r="C55" s="191" t="s">
        <v>90</v>
      </c>
      <c r="D55" s="170">
        <v>12.702293837857102</v>
      </c>
      <c r="E55" s="17">
        <v>409.56338847910718</v>
      </c>
      <c r="F55" s="17">
        <v>402.45574312508791</v>
      </c>
      <c r="G55" s="17">
        <v>420.08833436020501</v>
      </c>
      <c r="H55" s="17">
        <v>387.21288381617831</v>
      </c>
      <c r="J55" s="2"/>
      <c r="K55" s="3">
        <f t="shared" si="3"/>
        <v>-7.1076453540192688</v>
      </c>
      <c r="L55" s="3">
        <f t="shared" si="4"/>
        <v>17.632591235117104</v>
      </c>
      <c r="M55" s="3">
        <f t="shared" si="5"/>
        <v>-15.242859308909601</v>
      </c>
      <c r="N55" s="3">
        <f t="shared" si="6"/>
        <v>-32.875450544026705</v>
      </c>
      <c r="O55" s="3"/>
      <c r="R55" s="192" t="str">
        <f t="shared" si="7"/>
        <v>Control</v>
      </c>
      <c r="S55" s="191" t="str">
        <f t="shared" si="8"/>
        <v>Jaimie</v>
      </c>
      <c r="T55" s="177">
        <f t="shared" si="18"/>
        <v>12.702293837857102</v>
      </c>
      <c r="U55" s="3">
        <f t="shared" si="9"/>
        <v>601.50916861344172</v>
      </c>
      <c r="V55" s="3">
        <f t="shared" si="10"/>
        <v>599.75851358444015</v>
      </c>
      <c r="W55" s="3">
        <f t="shared" si="11"/>
        <v>604.04650090685334</v>
      </c>
      <c r="X55" s="3">
        <f t="shared" si="12"/>
        <v>595.89746291674862</v>
      </c>
      <c r="Y55" s="3"/>
      <c r="Z55" s="3"/>
      <c r="AA55" s="3">
        <f t="shared" si="13"/>
        <v>-1.7506550290015639</v>
      </c>
      <c r="AB55" s="3">
        <f t="shared" si="14"/>
        <v>4.287987322413187</v>
      </c>
      <c r="AC55" s="3">
        <f t="shared" si="15"/>
        <v>-3.8610506676915293</v>
      </c>
      <c r="AD55" s="3">
        <f t="shared" si="16"/>
        <v>-8.1490379901047163</v>
      </c>
      <c r="AE55" s="3"/>
    </row>
    <row r="56" spans="2:31" x14ac:dyDescent="0.25">
      <c r="B56" s="192" t="str">
        <f t="shared" si="17"/>
        <v>Control</v>
      </c>
      <c r="C56" s="191" t="s">
        <v>91</v>
      </c>
      <c r="D56" s="170">
        <v>13.843325619119696</v>
      </c>
      <c r="E56" s="17">
        <v>422.10729973615292</v>
      </c>
      <c r="F56" s="17">
        <v>420.71546467566708</v>
      </c>
      <c r="G56" s="17">
        <v>425.98064329401933</v>
      </c>
      <c r="H56" s="17">
        <v>418.06747841982002</v>
      </c>
      <c r="J56" s="2"/>
      <c r="K56" s="3">
        <f t="shared" si="3"/>
        <v>-1.391835060485846</v>
      </c>
      <c r="L56" s="3">
        <f t="shared" si="4"/>
        <v>5.2651786183522518</v>
      </c>
      <c r="M56" s="3">
        <f t="shared" si="5"/>
        <v>-2.6479862558470586</v>
      </c>
      <c r="N56" s="3">
        <f t="shared" si="6"/>
        <v>-7.9131648741993104</v>
      </c>
      <c r="O56" s="3"/>
      <c r="R56" s="192" t="str">
        <f t="shared" si="7"/>
        <v>Control</v>
      </c>
      <c r="S56" s="191" t="str">
        <f t="shared" si="8"/>
        <v>Jean</v>
      </c>
      <c r="T56" s="177">
        <f t="shared" si="18"/>
        <v>13.843325619119696</v>
      </c>
      <c r="U56" s="3">
        <f t="shared" si="9"/>
        <v>604.52595464938156</v>
      </c>
      <c r="V56" s="3">
        <f t="shared" si="10"/>
        <v>604.19567493115642</v>
      </c>
      <c r="W56" s="3">
        <f t="shared" si="11"/>
        <v>605.43939069600708</v>
      </c>
      <c r="X56" s="3">
        <f t="shared" si="12"/>
        <v>603.56428511224362</v>
      </c>
      <c r="Y56" s="3"/>
      <c r="Z56" s="3"/>
      <c r="AA56" s="3">
        <f t="shared" si="13"/>
        <v>-0.33027971822514246</v>
      </c>
      <c r="AB56" s="3">
        <f t="shared" si="14"/>
        <v>1.2437157648506627</v>
      </c>
      <c r="AC56" s="3">
        <f t="shared" si="15"/>
        <v>-0.631389818912794</v>
      </c>
      <c r="AD56" s="3">
        <f t="shared" si="16"/>
        <v>-1.8751055837634567</v>
      </c>
      <c r="AE56" s="3"/>
    </row>
    <row r="57" spans="2:31" x14ac:dyDescent="0.25">
      <c r="B57" s="192" t="str">
        <f t="shared" si="17"/>
        <v>Control</v>
      </c>
      <c r="C57" s="191" t="s">
        <v>32</v>
      </c>
      <c r="D57" s="170">
        <v>17.65703663588971</v>
      </c>
      <c r="E57" s="17">
        <v>371.19659441945441</v>
      </c>
      <c r="F57" s="17">
        <v>366.96410114152729</v>
      </c>
      <c r="G57" s="17">
        <v>360.04342176336093</v>
      </c>
      <c r="H57" s="17">
        <v>360.88412179877929</v>
      </c>
      <c r="J57" s="2"/>
      <c r="K57" s="3">
        <f t="shared" si="3"/>
        <v>-4.2324932779271194</v>
      </c>
      <c r="L57" s="3">
        <f t="shared" si="4"/>
        <v>-6.9206793781663691</v>
      </c>
      <c r="M57" s="3">
        <f t="shared" si="5"/>
        <v>-6.079979342748004</v>
      </c>
      <c r="N57" s="3">
        <f t="shared" si="6"/>
        <v>0.84070003541836513</v>
      </c>
      <c r="O57" s="3"/>
      <c r="R57" s="192" t="str">
        <f t="shared" si="7"/>
        <v>Control</v>
      </c>
      <c r="S57" s="191" t="str">
        <f t="shared" si="8"/>
        <v>Jesse</v>
      </c>
      <c r="T57" s="177">
        <f t="shared" si="18"/>
        <v>17.65703663588971</v>
      </c>
      <c r="U57" s="3">
        <f t="shared" si="9"/>
        <v>591.67318263534025</v>
      </c>
      <c r="V57" s="3">
        <f t="shared" si="10"/>
        <v>590.5264026217111</v>
      </c>
      <c r="W57" s="3">
        <f t="shared" si="11"/>
        <v>588.62246401859659</v>
      </c>
      <c r="X57" s="3">
        <f t="shared" si="12"/>
        <v>588.85569145566933</v>
      </c>
      <c r="Y57" s="3"/>
      <c r="Z57" s="3"/>
      <c r="AA57" s="3">
        <f t="shared" si="13"/>
        <v>-1.1467800136291544</v>
      </c>
      <c r="AB57" s="3">
        <f t="shared" si="14"/>
        <v>-1.9039386031145114</v>
      </c>
      <c r="AC57" s="3">
        <f t="shared" si="15"/>
        <v>-1.6707111660417695</v>
      </c>
      <c r="AD57" s="3">
        <f t="shared" si="16"/>
        <v>0.23322743707274185</v>
      </c>
      <c r="AE57" s="3"/>
    </row>
    <row r="58" spans="2:31" x14ac:dyDescent="0.25">
      <c r="B58" s="192" t="str">
        <f t="shared" si="17"/>
        <v>Control</v>
      </c>
      <c r="C58" s="191" t="s">
        <v>31</v>
      </c>
      <c r="D58" s="170">
        <v>4.3319343583072438</v>
      </c>
      <c r="E58" s="17">
        <v>446.84436106851598</v>
      </c>
      <c r="F58" s="17">
        <v>450.50108034494986</v>
      </c>
      <c r="G58" s="17">
        <v>447.96930151671808</v>
      </c>
      <c r="H58" s="17">
        <v>452.6467164201668</v>
      </c>
      <c r="J58" s="2"/>
      <c r="K58" s="3">
        <f t="shared" si="3"/>
        <v>3.6567192764338756</v>
      </c>
      <c r="L58" s="3">
        <f t="shared" si="4"/>
        <v>-2.5317788282317792</v>
      </c>
      <c r="M58" s="3">
        <f t="shared" si="5"/>
        <v>2.1456360752169417</v>
      </c>
      <c r="N58" s="3">
        <f t="shared" si="6"/>
        <v>4.6774149034487209</v>
      </c>
      <c r="O58" s="3"/>
      <c r="R58" s="192" t="str">
        <f t="shared" si="7"/>
        <v>Control</v>
      </c>
      <c r="S58" s="191" t="str">
        <f t="shared" si="8"/>
        <v>Jo</v>
      </c>
      <c r="T58" s="177">
        <f t="shared" si="18"/>
        <v>4.3319343583072438</v>
      </c>
      <c r="U58" s="3">
        <f t="shared" si="9"/>
        <v>610.22103484538661</v>
      </c>
      <c r="V58" s="3">
        <f t="shared" si="10"/>
        <v>611.03604751475143</v>
      </c>
      <c r="W58" s="3">
        <f t="shared" si="11"/>
        <v>610.47247066669672</v>
      </c>
      <c r="X58" s="3">
        <f t="shared" si="12"/>
        <v>611.5111945769803</v>
      </c>
      <c r="Y58" s="3"/>
      <c r="Z58" s="3"/>
      <c r="AA58" s="3">
        <f t="shared" si="13"/>
        <v>0.81501266936481898</v>
      </c>
      <c r="AB58" s="3">
        <f t="shared" si="14"/>
        <v>-0.56357684805470853</v>
      </c>
      <c r="AC58" s="3">
        <f t="shared" si="15"/>
        <v>0.47514706222887071</v>
      </c>
      <c r="AD58" s="3">
        <f t="shared" si="16"/>
        <v>1.0387239102835792</v>
      </c>
      <c r="AE58" s="3"/>
    </row>
    <row r="59" spans="2:31" x14ac:dyDescent="0.25">
      <c r="B59" s="192" t="str">
        <f t="shared" si="17"/>
        <v>Control</v>
      </c>
      <c r="C59" s="191" t="s">
        <v>92</v>
      </c>
      <c r="D59" s="170">
        <v>5.4683864923101488</v>
      </c>
      <c r="E59" s="17">
        <v>419.05559101443612</v>
      </c>
      <c r="F59" s="17">
        <v>408.9737168810733</v>
      </c>
      <c r="G59" s="17">
        <v>414.46942911954602</v>
      </c>
      <c r="H59" s="17">
        <v>410.88402264062233</v>
      </c>
      <c r="J59" s="2"/>
      <c r="K59" s="3">
        <f t="shared" si="3"/>
        <v>-10.081874133362817</v>
      </c>
      <c r="L59" s="3">
        <f t="shared" si="4"/>
        <v>5.4957122384727199</v>
      </c>
      <c r="M59" s="3">
        <f t="shared" si="5"/>
        <v>1.9103057595490327</v>
      </c>
      <c r="N59" s="3">
        <f t="shared" si="6"/>
        <v>-3.5854064789236872</v>
      </c>
      <c r="O59" s="3"/>
      <c r="R59" s="192" t="str">
        <f t="shared" si="7"/>
        <v>Control</v>
      </c>
      <c r="S59" s="191" t="str">
        <f t="shared" si="8"/>
        <v xml:space="preserve">Jody </v>
      </c>
      <c r="T59" s="177">
        <f t="shared" si="18"/>
        <v>5.4683864923101488</v>
      </c>
      <c r="U59" s="3">
        <f t="shared" si="9"/>
        <v>603.80035865736431</v>
      </c>
      <c r="V59" s="3">
        <f t="shared" si="10"/>
        <v>601.36508920734514</v>
      </c>
      <c r="W59" s="3">
        <f t="shared" si="11"/>
        <v>602.69992182234409</v>
      </c>
      <c r="X59" s="3">
        <f t="shared" si="12"/>
        <v>601.83109913188696</v>
      </c>
      <c r="Y59" s="3"/>
      <c r="Z59" s="3"/>
      <c r="AA59" s="3">
        <f t="shared" si="13"/>
        <v>-2.4352694500191774</v>
      </c>
      <c r="AB59" s="3">
        <f t="shared" si="14"/>
        <v>1.3348326149989589</v>
      </c>
      <c r="AC59" s="3">
        <f t="shared" si="15"/>
        <v>0.46600992454182233</v>
      </c>
      <c r="AD59" s="3">
        <f t="shared" si="16"/>
        <v>-0.86882269045713656</v>
      </c>
      <c r="AE59" s="3"/>
    </row>
    <row r="60" spans="2:31" x14ac:dyDescent="0.25">
      <c r="B60" s="192" t="str">
        <f t="shared" si="17"/>
        <v>Control</v>
      </c>
      <c r="C60" s="191" t="s">
        <v>93</v>
      </c>
      <c r="D60" s="170">
        <v>7.2272889016366006</v>
      </c>
      <c r="E60" s="17">
        <v>413.03916851760772</v>
      </c>
      <c r="F60" s="17">
        <v>423.62666814645399</v>
      </c>
      <c r="G60" s="17">
        <v>412.71207326913463</v>
      </c>
      <c r="H60" s="17">
        <v>413.39671162611018</v>
      </c>
      <c r="J60" s="2"/>
      <c r="K60" s="3">
        <f t="shared" si="3"/>
        <v>10.587499628846274</v>
      </c>
      <c r="L60" s="3">
        <f t="shared" si="4"/>
        <v>-10.91459487731936</v>
      </c>
      <c r="M60" s="3">
        <f t="shared" si="5"/>
        <v>-10.229956520343819</v>
      </c>
      <c r="N60" s="3">
        <f t="shared" si="6"/>
        <v>0.68463835697554032</v>
      </c>
      <c r="O60" s="3"/>
      <c r="R60" s="192" t="str">
        <f t="shared" si="7"/>
        <v>Control</v>
      </c>
      <c r="S60" s="191" t="str">
        <f t="shared" si="8"/>
        <v>Jordan</v>
      </c>
      <c r="T60" s="177">
        <f t="shared" si="18"/>
        <v>7.2272889016366006</v>
      </c>
      <c r="U60" s="3">
        <f t="shared" si="9"/>
        <v>602.35424274897809</v>
      </c>
      <c r="V60" s="3">
        <f t="shared" si="10"/>
        <v>604.88525677098528</v>
      </c>
      <c r="W60" s="3">
        <f t="shared" si="11"/>
        <v>602.27501906779457</v>
      </c>
      <c r="X60" s="3">
        <f t="shared" si="12"/>
        <v>602.44076927557262</v>
      </c>
      <c r="Y60" s="3"/>
      <c r="Z60" s="3"/>
      <c r="AA60" s="3">
        <f t="shared" si="13"/>
        <v>2.5310140220071844</v>
      </c>
      <c r="AB60" s="3">
        <f t="shared" si="14"/>
        <v>-2.6102377031907054</v>
      </c>
      <c r="AC60" s="3">
        <f t="shared" si="15"/>
        <v>-2.444487495412659</v>
      </c>
      <c r="AD60" s="3">
        <f t="shared" si="16"/>
        <v>0.16575020777804639</v>
      </c>
      <c r="AE60" s="3"/>
    </row>
    <row r="61" spans="2:31" x14ac:dyDescent="0.25">
      <c r="B61" s="192" t="str">
        <f t="shared" si="17"/>
        <v>Control</v>
      </c>
      <c r="C61" s="191" t="s">
        <v>33</v>
      </c>
      <c r="D61" s="170">
        <v>7.084244013734355</v>
      </c>
      <c r="E61" s="17">
        <v>385.03501017733549</v>
      </c>
      <c r="F61" s="17">
        <v>393.23913948739181</v>
      </c>
      <c r="G61" s="17">
        <v>389.48780447242081</v>
      </c>
      <c r="H61" s="17">
        <v>400.81467951476833</v>
      </c>
      <c r="J61" s="2"/>
      <c r="K61" s="3">
        <f t="shared" si="3"/>
        <v>8.2041293100563166</v>
      </c>
      <c r="L61" s="3">
        <f t="shared" si="4"/>
        <v>-3.751335014971005</v>
      </c>
      <c r="M61" s="3">
        <f t="shared" si="5"/>
        <v>7.575540027376519</v>
      </c>
      <c r="N61" s="3">
        <f t="shared" si="6"/>
        <v>11.326875042347524</v>
      </c>
      <c r="O61" s="3"/>
      <c r="R61" s="192" t="str">
        <f t="shared" si="7"/>
        <v>Control</v>
      </c>
      <c r="S61" s="191" t="str">
        <f t="shared" si="8"/>
        <v>Kelly</v>
      </c>
      <c r="T61" s="177">
        <f t="shared" si="18"/>
        <v>7.084244013734355</v>
      </c>
      <c r="U61" s="3">
        <f t="shared" si="9"/>
        <v>595.33342656789466</v>
      </c>
      <c r="V61" s="3">
        <f t="shared" si="10"/>
        <v>597.44179242331609</v>
      </c>
      <c r="W61" s="3">
        <f t="shared" si="11"/>
        <v>596.48325540951191</v>
      </c>
      <c r="X61" s="3">
        <f t="shared" si="12"/>
        <v>599.34991746358048</v>
      </c>
      <c r="Y61" s="3"/>
      <c r="Z61" s="3"/>
      <c r="AA61" s="3">
        <f t="shared" si="13"/>
        <v>2.1083658554214253</v>
      </c>
      <c r="AB61" s="3">
        <f t="shared" si="14"/>
        <v>-0.95853701380417533</v>
      </c>
      <c r="AC61" s="3">
        <f t="shared" si="15"/>
        <v>1.9081250402643946</v>
      </c>
      <c r="AD61" s="3">
        <f t="shared" si="16"/>
        <v>2.8666620540685699</v>
      </c>
      <c r="AE61" s="3"/>
    </row>
    <row r="62" spans="2:31" x14ac:dyDescent="0.25">
      <c r="B62" s="30"/>
      <c r="C62" s="5" t="s">
        <v>2</v>
      </c>
      <c r="D62" s="72">
        <f>AVERAGE(D42:D61)</f>
        <v>9.3961458094971384</v>
      </c>
      <c r="E62" s="72">
        <f>AVERAGE(E42:E61)</f>
        <v>403.74313992986185</v>
      </c>
      <c r="F62" s="72">
        <f>AVERAGE(F42:F61)</f>
        <v>405.97365972243381</v>
      </c>
      <c r="G62" s="72">
        <f>AVERAGE(G42:G61)</f>
        <v>411.75450913531449</v>
      </c>
      <c r="H62" s="72">
        <f>AVERAGE(H42:H61)</f>
        <v>408.49950272585806</v>
      </c>
      <c r="I62" s="258"/>
      <c r="J62" s="259" t="s">
        <v>106</v>
      </c>
      <c r="K62" s="260">
        <f>IF(ISBLANK($K$35),AVERAGE(K42:K61),IF(ISBLANK($K$38),FORECAST($K$35,K42:K61,$D42:$D61),SLOPE(K42:K61,$D42:$D61)*$K$38))</f>
        <v>2.2305197925719655</v>
      </c>
      <c r="L62" s="260">
        <f>IF(ISBLANK($K$35),AVERAGE(L42:L61),IF(ISBLANK($K$38),FORECAST($K$35,L42:L61,$D42:$D61),SLOPE(L42:L61,$D42:$D61)*$K$38))</f>
        <v>5.7808494128806958</v>
      </c>
      <c r="M62" s="260">
        <f>IF(ISBLANK($K$35),AVERAGE(M42:M61),IF(ISBLANK($K$38),FORECAST($K$35,M42:M61,$D42:$D61),SLOPE(M42:M61,$D42:$D61)*$K$38))</f>
        <v>2.5258430034242254</v>
      </c>
      <c r="N62" s="260">
        <f>IF(ISBLANK($K$35),AVERAGE(N42:N61),IF(ISBLANK($K$38),FORECAST($K$35,N42:N61,$D42:$D61),SLOPE(N42:N61,$D42:$D61)*$K$38))</f>
        <v>-3.2550064094564704</v>
      </c>
      <c r="O62" s="261" t="e">
        <f>IF(ISBLANK($K$35),AVERAGE(O42:O61),IF(ISBLANK($K$38),FORECAST($K$35,O42:O61,$D42:$D61),SLOPE(O42:O61,$D42:$D61)*$K$38))</f>
        <v>#DIV/0!</v>
      </c>
      <c r="R62" s="30"/>
      <c r="S62" s="5" t="s">
        <v>2</v>
      </c>
      <c r="T62" s="72">
        <f>AVERAGE(T42:T61)</f>
        <v>9.3961458094971384</v>
      </c>
      <c r="U62" s="6">
        <f>AVERAGE(U42:U61)</f>
        <v>599.93738342617951</v>
      </c>
      <c r="V62" s="6">
        <f>AVERAGE(V42:V61)</f>
        <v>600.49976923652673</v>
      </c>
      <c r="W62" s="6">
        <f>AVERAGE(W42:W61)</f>
        <v>601.89526763709296</v>
      </c>
      <c r="X62" s="6">
        <f>AVERAGE(X42:X61)</f>
        <v>601.08502502978138</v>
      </c>
      <c r="Y62" s="6"/>
      <c r="Z62" s="5" t="s">
        <v>106</v>
      </c>
      <c r="AA62" s="252">
        <f>IF(ISBLANK($AA$35),AVERAGE(AA42:AA61),IF(ISBLANK($AA$38),FORECAST($AA$35,AA42:AA61,$T42:$T61),SLOPE(AA42:AA61,$T42:$T61)*$AA$38))</f>
        <v>0.56238581034711499</v>
      </c>
      <c r="AB62" s="347">
        <f>IF(ISBLANK($AA$35),AVERAGE(AB42:AB61),IF(ISBLANK($AA$38),FORECAST($AA$35,AB42:AB61,$T42:$T61),SLOPE(AB42:AB61,$T42:$T61)*$AA$38))</f>
        <v>1.3954984005663165</v>
      </c>
      <c r="AC62" s="252">
        <f>IF(ISBLANK($AA$35),AVERAGE(AC42:AC61),IF(ISBLANK($AA$38),FORECAST($AA$35,AC42:AC61,$T42:$T61),SLOPE(AC42:AC61,$T42:$T61)*$AA$38))</f>
        <v>0.58525579325489052</v>
      </c>
      <c r="AD62" s="252">
        <f>IF(ISBLANK($AA$35),AVERAGE(AD42:AD61),IF(ISBLANK($AA$38),FORECAST($AA$35,AD42:AD61,$T42:$T61),SLOPE(AD42:AD61,$T42:$T61)*$AA$38))</f>
        <v>-0.81024260731142594</v>
      </c>
      <c r="AE62" s="252" t="e">
        <f>IF(ISBLANK($AA$35),AVERAGE(AE42:AE61),IF(ISBLANK($AA$38),FORECAST($AA$35,AE42:AE61,$T42:$T61),SLOPE(AE42:AE61,$T42:$T61)*$AA$38))</f>
        <v>#DIV/0!</v>
      </c>
    </row>
    <row r="63" spans="2:31" x14ac:dyDescent="0.25">
      <c r="B63" s="30"/>
      <c r="C63" s="5" t="s">
        <v>3</v>
      </c>
      <c r="D63" s="72">
        <f>STDEV(D42:D61)</f>
        <v>3.6598109132234531</v>
      </c>
      <c r="E63" s="72">
        <f>STDEV(E42:E61)</f>
        <v>21.911795113465768</v>
      </c>
      <c r="F63" s="72">
        <f>STDEV(F42:F61)</f>
        <v>21.096269939867266</v>
      </c>
      <c r="G63" s="72">
        <f>STDEV(G42:G61)</f>
        <v>22.655244592733524</v>
      </c>
      <c r="H63" s="72">
        <f>STDEV(H42:H61)</f>
        <v>23.922583581514715</v>
      </c>
      <c r="I63" s="262"/>
      <c r="J63" s="263" t="s">
        <v>107</v>
      </c>
      <c r="K63" s="264">
        <f>IF(ISBLANK($K$35),STDEV(K42:K61),STEYX(K42:K61,$D42:$D61))</f>
        <v>12.261325039835047</v>
      </c>
      <c r="L63" s="264">
        <f>IF(ISBLANK($K$35),STDEV(L42:L61),STEYX(L42:L61,$D42:$D61))</f>
        <v>11.42060168968843</v>
      </c>
      <c r="M63" s="264">
        <f>IF(ISBLANK($K$35),STDEV(M42:M61),STEYX(M42:M61,$D42:$D61))</f>
        <v>9.3459064268696501</v>
      </c>
      <c r="N63" s="264">
        <f>IF(ISBLANK($K$35),STDEV(N42:N61),STEYX(N42:N61,$D42:$D61))</f>
        <v>13.392233037743464</v>
      </c>
      <c r="O63" s="265" t="e">
        <f>IF(ISBLANK($K$35),STDEV(O42:O61),STEYX(O42:O61,$D42:$D61))</f>
        <v>#DIV/0!</v>
      </c>
      <c r="R63" s="30"/>
      <c r="S63" s="5" t="s">
        <v>3</v>
      </c>
      <c r="T63" s="72">
        <f>STDEV(T42:T61)</f>
        <v>3.6598109132234531</v>
      </c>
      <c r="U63" s="6">
        <f>STDEV(U42:U61)</f>
        <v>5.4452579957189666</v>
      </c>
      <c r="V63" s="6">
        <f>STDEV(V42:V61)</f>
        <v>5.2215563274558789</v>
      </c>
      <c r="W63" s="6">
        <f>STDEV(W42:W61)</f>
        <v>5.6081726663399616</v>
      </c>
      <c r="X63" s="6">
        <f>STDEV(X42:X61)</f>
        <v>5.8882353627805815</v>
      </c>
      <c r="Y63" s="6"/>
      <c r="Z63" s="5" t="s">
        <v>107</v>
      </c>
      <c r="AA63" s="252">
        <f>IF(ISBLANK($AA$35),STDEV(AA42:AA61),STEYX(AA42:AA61,$T42:$T61))</f>
        <v>3.0163101078600727</v>
      </c>
      <c r="AB63" s="252">
        <f>IF(ISBLANK($AA$35),STDEV(AB42:AB61),STEYX(AB42:AB61,$T42:$T61))</f>
        <v>2.8636078220228329</v>
      </c>
      <c r="AC63" s="252">
        <f>IF(ISBLANK($AA$35),STDEV(AC42:AC61),STEYX(AC42:AC61,$T42:$T61))</f>
        <v>2.2633202145571332</v>
      </c>
      <c r="AD63" s="252">
        <f>IF(ISBLANK($AA$35),STDEV(AD42:AD61),STEYX(AD42:AD61,$T42:$T61))</f>
        <v>3.2749837915588365</v>
      </c>
      <c r="AE63" s="252" t="e">
        <f>IF(ISBLANK($AA$35),STDEV(AE42:AE61),STEYX(AE42:AE61,$T42:$T61))</f>
        <v>#DIV/0!</v>
      </c>
    </row>
    <row r="64" spans="2:31" x14ac:dyDescent="0.25">
      <c r="B64" s="30"/>
      <c r="C64" s="5" t="s">
        <v>62</v>
      </c>
      <c r="D64" s="6">
        <f>D63/SQRT(D66)</f>
        <v>0.81835859867632244</v>
      </c>
      <c r="E64" s="6">
        <f>E63/SQRT(E66)</f>
        <v>4.8996263382757173</v>
      </c>
      <c r="F64" s="6">
        <f>F63/SQRT(F66)</f>
        <v>4.7172693657228608</v>
      </c>
      <c r="G64" s="4"/>
      <c r="H64" s="4"/>
      <c r="I64" s="4"/>
      <c r="J64" s="5" t="s">
        <v>108</v>
      </c>
      <c r="K64" s="4">
        <f>IF(ISBLANK($K$35),K63/SQRT(COUNT(K42:K61)),IF(ISBLANK($K$38),K63*SQRT(1/COUNT(K42:K61)+1/(COUNT(K42:K61)-1)*($K$35-$D62)^2/$D63^2),$K$38*STEYX(K42:K61,$D42:$D61)/(SQRT(COUNT(K42:K61)-1))/$D63))</f>
        <v>2.7417156283291479</v>
      </c>
      <c r="L64" s="4">
        <f>IF(ISBLANK($K$35),L63/SQRT(COUNT(L42:L61)),IF(ISBLANK($K$38),L63*SQRT(1/COUNT(L42:L61)+1/(COUNT(L42:L61)-1)*($K$35-$D62)^2/$D63^2),$K$38*STEYX(L42:L61,$D42:$D61)/(SQRT(COUNT(L42:L61)-1))/$D63))</f>
        <v>2.553724172209229</v>
      </c>
      <c r="M64" s="4">
        <f>IF(ISBLANK($K$35),M63/SQRT(COUNT(M42:M61)),IF(ISBLANK($K$38),M63*SQRT(1/COUNT(M42:M61)+1/(COUNT(M42:M61)-1)*($K$35-$D62)^2/$D63^2),$K$38*STEYX(M42:M61,$D42:$D61)/(SQRT(COUNT(M42:M61)-1))/$D63))</f>
        <v>2.0898082081832703</v>
      </c>
      <c r="N64" s="4">
        <f>IF(ISBLANK($K$35),N63/SQRT(COUNT(N42:N61)),IF(ISBLANK($K$38),N63*SQRT(1/COUNT(N42:N61)+1/(COUNT(N42:N61)-1)*($K$35-$D62)^2/$D63^2),$K$38*STEYX(N42:N61,$D42:$D61)/(SQRT(COUNT(N42:N61)-1))/$D63))</f>
        <v>2.994594344291289</v>
      </c>
      <c r="O64" s="4" t="e">
        <f>IF(ISBLANK($K$35),O63/SQRT(COUNT(O42:O61)),IF(ISBLANK($K$38),O63*SQRT(1/COUNT(O42:O61)+1/(COUNT(O42:O61)-1)*($K$35-$D62)^2/$D63^2),$K$38*STEYX(O42:O61,$D42:$D61)/(SQRT(COUNT(O42:O61)-1))/$D63))</f>
        <v>#DIV/0!</v>
      </c>
      <c r="R64" s="30"/>
      <c r="S64" s="5" t="s">
        <v>62</v>
      </c>
      <c r="T64" s="6">
        <f>T63/SQRT(COUNT(T42:T61))</f>
        <v>0.81835859867632244</v>
      </c>
      <c r="U64" s="6">
        <f>U63/SQRT(COUNT(U42:U61))</f>
        <v>1.2175967033451867</v>
      </c>
      <c r="V64" s="6">
        <f>V63/SQRT(COUNT(V42:V61))</f>
        <v>1.1675754896535497</v>
      </c>
      <c r="W64" s="6"/>
      <c r="X64" s="6"/>
      <c r="Y64" s="6"/>
      <c r="Z64" s="5" t="s">
        <v>108</v>
      </c>
      <c r="AA64" s="4">
        <f>IF(ISBLANK($AA$35),AA63/SQRT(COUNT(AA42:AA61)),IF(ISBLANK($AA$38),AA63*SQRT(1/COUNT(AA42:AA61)+1/(COUNT(AA42:AA61)-1)*($AA$35-$T62)^2/$T63^2),$AA$38*STEYX(AA42:AA61,$T42:$T61)/(SQRT(COUNT(AA42:AA61)-1))/$T63))</f>
        <v>0.67446744423948446</v>
      </c>
      <c r="AB64" s="348">
        <f>IF(ISBLANK($AA$35),AB63/SQRT(COUNT(AB42:AB61)),IF(ISBLANK($AA$38),AB63*SQRT(1/COUNT(AB42:AB61)+1/(COUNT(AB42:AB61)-1)*($AA$35-$T62)^2/$T63^2),$AA$38*STEYX(AB42:AB61,$T42:$T61)/(SQRT(COUNT(AB42:AB61)-1))/$T63))</f>
        <v>0.64032217509431733</v>
      </c>
      <c r="AC64" s="4">
        <f>IF(ISBLANK($AA$35),AC63/SQRT(COUNT(AC42:AC61)),IF(ISBLANK($AA$38),AC63*SQRT(1/COUNT(AC42:AC61)+1/(COUNT(AC42:AC61)-1)*($AA$35-$T62)^2/$T63^2),$AA$38*STEYX(AC42:AC61,$T42:$T61)/(SQRT(COUNT(AC42:AC61)-1))/$T63))</f>
        <v>0.5060937854599159</v>
      </c>
      <c r="AD64" s="4">
        <f>IF(ISBLANK($AA$35),AD63/SQRT(COUNT(AD42:AD61)),IF(ISBLANK($AA$38),AD63*SQRT(1/COUNT(AD42:AD61)+1/(COUNT(AD42:AD61)-1)*($AA$35-$T62)^2/$T63^2),$AA$38*STEYX(AD42:AD61,$T42:$T61)/(SQRT(COUNT(AD42:AD61)-1))/$T63))</f>
        <v>0.73230863831355597</v>
      </c>
      <c r="AE64" s="4" t="e">
        <f>IF(ISBLANK($AA$35),AE63/SQRT(COUNT(AE42:AE61)),IF(ISBLANK($AA$38),AE63*SQRT(1/COUNT(AE42:AE61)+1/(COUNT(AE42:AE61)-1)*($AA$35-$T62)^2/$T63^2),$AA$38*STEYX(AE42:AE61,$T42:$T61)/(SQRT(COUNT(AE42:AE61)-1))/$T63))</f>
        <v>#DIV/0!</v>
      </c>
    </row>
    <row r="65" spans="2:31" x14ac:dyDescent="0.25">
      <c r="B65" s="30"/>
      <c r="C65" s="5" t="s">
        <v>67</v>
      </c>
      <c r="D65" s="97">
        <f>D66-1</f>
        <v>19</v>
      </c>
      <c r="E65" s="97">
        <f>E66-1</f>
        <v>19</v>
      </c>
      <c r="F65" s="97">
        <f>F66-1</f>
        <v>19</v>
      </c>
      <c r="G65" s="4"/>
      <c r="H65" s="4"/>
      <c r="I65" s="4"/>
      <c r="J65" s="5" t="s">
        <v>67</v>
      </c>
      <c r="K65" s="97">
        <f>IF(ISBLANK($K$35),COUNT(K42:K61)-1,COUNT(K42:K61)-2)</f>
        <v>19</v>
      </c>
      <c r="L65" s="97">
        <f>IF(ISBLANK($K$35),COUNT(L42:L61)-1,COUNT(L42:L61)-2)</f>
        <v>19</v>
      </c>
      <c r="M65" s="97">
        <f>IF(ISBLANK($K$35),COUNT(M42:M61)-1,COUNT(M42:M61)-2)</f>
        <v>19</v>
      </c>
      <c r="N65" s="97">
        <f>IF(ISBLANK($K$35),COUNT(N42:N61)-1,COUNT(N42:N61)-2)</f>
        <v>19</v>
      </c>
      <c r="O65" s="97">
        <f>IF(ISBLANK($K$35),COUNT(O42:O61)-1,COUNT(O42:O61)-2)</f>
        <v>-1</v>
      </c>
      <c r="R65" s="30"/>
      <c r="S65" s="5" t="s">
        <v>67</v>
      </c>
      <c r="T65" s="97">
        <f>COUNT(T42:T61)-1</f>
        <v>19</v>
      </c>
      <c r="U65" s="97">
        <f>COUNT(U42:U61)-1</f>
        <v>19</v>
      </c>
      <c r="V65" s="97">
        <f>COUNT(V42:V61)-1</f>
        <v>19</v>
      </c>
      <c r="W65" s="97"/>
      <c r="X65" s="97"/>
      <c r="Y65" s="6"/>
      <c r="Z65" s="5" t="s">
        <v>67</v>
      </c>
      <c r="AA65" s="97">
        <f>IF(ISBLANK($AA$35),COUNT(AA42:AA61)-1,COUNT(AA42:AA61)-2)</f>
        <v>19</v>
      </c>
      <c r="AB65" s="97">
        <f>IF(ISBLANK($AA$35),COUNT(AB42:AB61)-1,COUNT(AB42:AB61)-2)</f>
        <v>19</v>
      </c>
      <c r="AC65" s="97">
        <f>IF(ISBLANK($AA$35),COUNT(AC42:AC61)-1,COUNT(AC42:AC61)-2)</f>
        <v>19</v>
      </c>
      <c r="AD65" s="97">
        <f>IF(ISBLANK($AA$35),COUNT(AD42:AD61)-1,COUNT(AD42:AD61)-2)</f>
        <v>19</v>
      </c>
      <c r="AE65" s="97">
        <f>IF(ISBLANK($AA$35),COUNT(AE42:AE61)-1,COUNT(AE42:AE61)-2)</f>
        <v>-1</v>
      </c>
    </row>
    <row r="66" spans="2:31" x14ac:dyDescent="0.25">
      <c r="B66" s="30"/>
      <c r="C66" s="5" t="s">
        <v>46</v>
      </c>
      <c r="D66" s="275">
        <f>COUNT(D42:D61)</f>
        <v>20</v>
      </c>
      <c r="E66" s="275">
        <f>COUNT(E42:E61)</f>
        <v>20</v>
      </c>
      <c r="F66" s="275">
        <f>COUNT(F42:F61)</f>
        <v>20</v>
      </c>
      <c r="G66" s="275">
        <f>COUNT(G42:G61)</f>
        <v>20</v>
      </c>
      <c r="H66" s="275">
        <f>COUNT(H42:H61)</f>
        <v>20</v>
      </c>
      <c r="I66" s="258"/>
      <c r="J66" s="259" t="s">
        <v>154</v>
      </c>
      <c r="K66" s="260">
        <f t="shared" ref="K66:O67" si="19">K62/$E$115</f>
        <v>9.9098007988814102E-2</v>
      </c>
      <c r="L66" s="260">
        <f t="shared" si="19"/>
        <v>0.25683280785382195</v>
      </c>
      <c r="M66" s="260">
        <f t="shared" si="19"/>
        <v>0.11221869044398906</v>
      </c>
      <c r="N66" s="260">
        <f t="shared" si="19"/>
        <v>-0.14461411740983293</v>
      </c>
      <c r="O66" s="261" t="e">
        <f t="shared" si="19"/>
        <v>#DIV/0!</v>
      </c>
      <c r="R66" s="30"/>
      <c r="S66" s="5" t="s">
        <v>46</v>
      </c>
      <c r="T66" s="275">
        <f>COUNT(T42:T61)</f>
        <v>20</v>
      </c>
      <c r="U66" s="275">
        <f>COUNT(U42:U61)</f>
        <v>20</v>
      </c>
      <c r="V66" s="275">
        <f>COUNT(V42:V61)</f>
        <v>20</v>
      </c>
      <c r="W66" s="275">
        <f>COUNT(W42:W61)</f>
        <v>20</v>
      </c>
      <c r="X66" s="275">
        <f>COUNT(X42:X61)</f>
        <v>20</v>
      </c>
      <c r="Y66" s="266"/>
      <c r="Z66" s="267" t="s">
        <v>109</v>
      </c>
      <c r="AA66" s="268">
        <f t="shared" ref="AA66:AE67" si="20">100*EXP(AA62/100)-100</f>
        <v>0.56397016802063149</v>
      </c>
      <c r="AB66" s="268">
        <f t="shared" si="20"/>
        <v>1.4052809315496972</v>
      </c>
      <c r="AC66" s="268">
        <f t="shared" si="20"/>
        <v>0.58697176093937742</v>
      </c>
      <c r="AD66" s="268">
        <f t="shared" si="20"/>
        <v>-0.80696898928044902</v>
      </c>
      <c r="AE66" s="269" t="e">
        <f t="shared" si="20"/>
        <v>#DIV/0!</v>
      </c>
    </row>
    <row r="67" spans="2:31" x14ac:dyDescent="0.25">
      <c r="B67" s="30"/>
      <c r="C67" s="5"/>
      <c r="D67" s="5"/>
      <c r="E67" s="4"/>
      <c r="F67" s="4"/>
      <c r="G67" s="4"/>
      <c r="H67" s="4"/>
      <c r="I67" s="262"/>
      <c r="J67" s="263" t="s">
        <v>155</v>
      </c>
      <c r="K67" s="264">
        <f t="shared" si="19"/>
        <v>0.54474875802377198</v>
      </c>
      <c r="L67" s="264">
        <f t="shared" si="19"/>
        <v>0.50739692212136811</v>
      </c>
      <c r="M67" s="264">
        <f t="shared" si="19"/>
        <v>0.41522191949917697</v>
      </c>
      <c r="N67" s="264">
        <f t="shared" si="19"/>
        <v>0.59499297920690519</v>
      </c>
      <c r="O67" s="265" t="e">
        <f t="shared" si="19"/>
        <v>#DIV/0!</v>
      </c>
      <c r="R67" s="30"/>
      <c r="S67" s="5" t="s">
        <v>6</v>
      </c>
      <c r="T67" s="97"/>
      <c r="U67" s="73">
        <f>EXP(U62/100)</f>
        <v>403.1762592768327</v>
      </c>
      <c r="V67" s="73">
        <f>EXP(V62/100)</f>
        <v>405.45005310369618</v>
      </c>
      <c r="W67" s="73">
        <f>EXP(W62/100)</f>
        <v>411.14776538692001</v>
      </c>
      <c r="X67" s="73">
        <f>EXP(X62/100)</f>
        <v>407.82993042012748</v>
      </c>
      <c r="Y67" s="270"/>
      <c r="Z67" s="263" t="s">
        <v>111</v>
      </c>
      <c r="AA67" s="271">
        <f t="shared" si="20"/>
        <v>3.0622615906254964</v>
      </c>
      <c r="AB67" s="271">
        <f t="shared" si="20"/>
        <v>2.9050032604313998</v>
      </c>
      <c r="AC67" s="271">
        <f t="shared" si="20"/>
        <v>2.2891276403068161</v>
      </c>
      <c r="AD67" s="271">
        <f t="shared" si="20"/>
        <v>3.3292016421716113</v>
      </c>
      <c r="AE67" s="272" t="e">
        <f t="shared" si="20"/>
        <v>#DIV/0!</v>
      </c>
    </row>
    <row r="68" spans="2:31" x14ac:dyDescent="0.25">
      <c r="B68" s="30"/>
      <c r="C68" s="5"/>
      <c r="D68" s="5"/>
      <c r="E68" s="4"/>
      <c r="F68" s="4"/>
      <c r="G68" s="4"/>
      <c r="H68" s="4"/>
      <c r="I68" s="4"/>
      <c r="J68" s="4"/>
      <c r="K68" s="4"/>
      <c r="L68" s="4"/>
      <c r="M68" s="4"/>
      <c r="N68" s="4"/>
      <c r="O68" s="4"/>
      <c r="R68" s="30"/>
      <c r="S68" s="5" t="s">
        <v>7</v>
      </c>
      <c r="T68" s="5"/>
      <c r="U68" s="73">
        <f>100*EXP(U63/100)-100</f>
        <v>5.5962401444173082</v>
      </c>
      <c r="V68" s="73">
        <f>100*EXP(V63/100)-100</f>
        <v>5.3602836113402503</v>
      </c>
      <c r="W68" s="73">
        <f>100*EXP(W63/100)-100</f>
        <v>5.7684121198596756</v>
      </c>
      <c r="X68" s="73">
        <f>100*EXP(X63/100)-100</f>
        <v>6.0650451722004135</v>
      </c>
      <c r="Y68" s="258"/>
      <c r="Z68" s="259" t="s">
        <v>110</v>
      </c>
      <c r="AA68" s="273">
        <f t="shared" ref="AA68:AE69" si="21">EXP(AA62/100)</f>
        <v>1.0056397016802063</v>
      </c>
      <c r="AB68" s="273">
        <f t="shared" si="21"/>
        <v>1.014052809315497</v>
      </c>
      <c r="AC68" s="273">
        <f t="shared" si="21"/>
        <v>1.0058697176093938</v>
      </c>
      <c r="AD68" s="273">
        <f t="shared" si="21"/>
        <v>0.99193031010719546</v>
      </c>
      <c r="AE68" s="274" t="e">
        <f t="shared" si="21"/>
        <v>#DIV/0!</v>
      </c>
    </row>
    <row r="69" spans="2:31" x14ac:dyDescent="0.25">
      <c r="B69" s="30"/>
      <c r="C69" s="5"/>
      <c r="D69" s="5"/>
      <c r="E69" s="4"/>
      <c r="F69" s="4"/>
      <c r="G69" s="4"/>
      <c r="H69" s="4"/>
      <c r="I69" s="4"/>
      <c r="J69" s="4"/>
      <c r="K69" s="4"/>
      <c r="L69" s="4"/>
      <c r="M69" s="4"/>
      <c r="N69" s="4"/>
      <c r="O69" s="4"/>
      <c r="R69" s="30"/>
      <c r="S69" s="5" t="s">
        <v>8</v>
      </c>
      <c r="T69" s="5"/>
      <c r="U69" s="72">
        <f>EXP(U63/100)</f>
        <v>1.0559624014441731</v>
      </c>
      <c r="V69" s="72">
        <f>EXP(V63/100)</f>
        <v>1.0536028361134024</v>
      </c>
      <c r="W69" s="72">
        <f>EXP(W63/100)</f>
        <v>1.0576841211985968</v>
      </c>
      <c r="X69" s="72">
        <f>EXP(X63/100)</f>
        <v>1.0606504517220041</v>
      </c>
      <c r="Y69" s="262"/>
      <c r="Z69" s="263" t="s">
        <v>112</v>
      </c>
      <c r="AA69" s="264">
        <f t="shared" si="21"/>
        <v>1.030622615906255</v>
      </c>
      <c r="AB69" s="264">
        <f t="shared" si="21"/>
        <v>1.0290500326043139</v>
      </c>
      <c r="AC69" s="264">
        <f t="shared" si="21"/>
        <v>1.0228912764030682</v>
      </c>
      <c r="AD69" s="264">
        <f t="shared" si="21"/>
        <v>1.0332920164217161</v>
      </c>
      <c r="AE69" s="265" t="e">
        <f t="shared" si="21"/>
        <v>#DIV/0!</v>
      </c>
    </row>
    <row r="70" spans="2:31" x14ac:dyDescent="0.25">
      <c r="B70" s="30"/>
      <c r="C70" s="5"/>
      <c r="D70" s="5"/>
      <c r="E70" s="4"/>
      <c r="F70" s="4"/>
      <c r="G70" s="4"/>
      <c r="H70" s="4"/>
      <c r="I70" s="4"/>
      <c r="J70" s="4"/>
      <c r="K70" s="4"/>
      <c r="L70" s="4"/>
      <c r="M70" s="4"/>
      <c r="N70" s="4"/>
      <c r="O70" s="4"/>
      <c r="R70" s="30"/>
      <c r="S70" s="5"/>
      <c r="T70" s="5"/>
      <c r="U70" s="72"/>
      <c r="V70" s="72"/>
      <c r="W70" s="72"/>
      <c r="X70" s="72"/>
      <c r="Y70" s="258"/>
      <c r="Z70" s="259" t="s">
        <v>154</v>
      </c>
      <c r="AA70" s="260">
        <f t="shared" ref="AA70:AE71" si="22">AA62/$U$115</f>
        <v>9.8415372838194654E-2</v>
      </c>
      <c r="AB70" s="260">
        <f t="shared" si="22"/>
        <v>0.24420690006753631</v>
      </c>
      <c r="AC70" s="260">
        <f t="shared" si="22"/>
        <v>0.10241753266026175</v>
      </c>
      <c r="AD70" s="260">
        <f t="shared" si="22"/>
        <v>-0.14178936740727457</v>
      </c>
      <c r="AE70" s="261" t="e">
        <f t="shared" si="22"/>
        <v>#DIV/0!</v>
      </c>
    </row>
    <row r="71" spans="2:31" x14ac:dyDescent="0.25">
      <c r="B71" s="30"/>
      <c r="C71" s="5"/>
      <c r="D71" s="5"/>
      <c r="E71" s="4"/>
      <c r="F71" s="4"/>
      <c r="G71" s="4"/>
      <c r="H71" s="4"/>
      <c r="I71" s="4"/>
      <c r="J71" s="4"/>
      <c r="K71" s="4"/>
      <c r="L71" s="4"/>
      <c r="M71" s="4"/>
      <c r="N71" s="4"/>
      <c r="O71" s="4"/>
      <c r="R71" s="30"/>
      <c r="S71" s="5"/>
      <c r="T71" s="5"/>
      <c r="U71" s="72"/>
      <c r="V71" s="72"/>
      <c r="W71" s="72"/>
      <c r="X71" s="72"/>
      <c r="Y71" s="262"/>
      <c r="Z71" s="263" t="s">
        <v>155</v>
      </c>
      <c r="AA71" s="264">
        <f t="shared" si="22"/>
        <v>0.52784276985481204</v>
      </c>
      <c r="AB71" s="264">
        <f t="shared" si="22"/>
        <v>0.50112045197726673</v>
      </c>
      <c r="AC71" s="264">
        <f t="shared" si="22"/>
        <v>0.39607240913560798</v>
      </c>
      <c r="AD71" s="264">
        <f t="shared" si="22"/>
        <v>0.57310967836541304</v>
      </c>
      <c r="AE71" s="265" t="e">
        <f t="shared" si="22"/>
        <v>#DIV/0!</v>
      </c>
    </row>
    <row r="72" spans="2:31" ht="26.25" customHeight="1" x14ac:dyDescent="0.25">
      <c r="D72" s="121" t="str">
        <f>D41</f>
        <v>X</v>
      </c>
      <c r="E72" s="121" t="str">
        <f>E41</f>
        <v>Pre1</v>
      </c>
      <c r="F72" s="121" t="str">
        <f>F41</f>
        <v>Pre2</v>
      </c>
      <c r="G72" s="121" t="str">
        <f>G41</f>
        <v>Post1</v>
      </c>
      <c r="H72" s="121" t="str">
        <f>H41</f>
        <v>Post2</v>
      </c>
      <c r="I72" s="122"/>
      <c r="J72" s="122"/>
      <c r="K72" s="121" t="str">
        <f>K41</f>
        <v>Pre2-Pre1</v>
      </c>
      <c r="L72" s="121" t="str">
        <f>L41</f>
        <v>Post1-Pre2</v>
      </c>
      <c r="M72" s="121" t="str">
        <f>M41</f>
        <v>Post2-Pre2</v>
      </c>
      <c r="N72" s="121" t="str">
        <f>N41</f>
        <v>Post2-Post1</v>
      </c>
      <c r="O72" s="121" t="str">
        <f>O41</f>
        <v>other effect</v>
      </c>
      <c r="T72" s="121" t="str">
        <f>T41</f>
        <v>X</v>
      </c>
      <c r="U72" s="121" t="str">
        <f>U41</f>
        <v>Pre1</v>
      </c>
      <c r="V72" s="121" t="str">
        <f>V41</f>
        <v>Pre2</v>
      </c>
      <c r="W72" s="121" t="str">
        <f>W41</f>
        <v>Post1</v>
      </c>
      <c r="X72" s="121" t="str">
        <f>X41</f>
        <v>Post2</v>
      </c>
      <c r="Y72" s="122"/>
      <c r="Z72" s="121"/>
      <c r="AA72" s="121" t="str">
        <f>AA41</f>
        <v>Pre2-Pre1</v>
      </c>
      <c r="AB72" s="121" t="str">
        <f>AB41</f>
        <v>Post1-Pre2</v>
      </c>
      <c r="AC72" s="121" t="str">
        <f>AC41</f>
        <v>Post2-Pre2</v>
      </c>
      <c r="AD72" s="121" t="str">
        <f>AD41</f>
        <v>Post2-Post1</v>
      </c>
      <c r="AE72" s="121" t="str">
        <f>AE41</f>
        <v>other effect</v>
      </c>
    </row>
    <row r="73" spans="2:31" x14ac:dyDescent="0.25">
      <c r="B73" s="178" t="s">
        <v>22</v>
      </c>
      <c r="C73" s="178" t="s">
        <v>34</v>
      </c>
      <c r="D73" s="169">
        <v>13.776209008775542</v>
      </c>
      <c r="E73" s="169">
        <v>403.1465762823359</v>
      </c>
      <c r="F73" s="169">
        <v>405.37444324699692</v>
      </c>
      <c r="G73" s="169">
        <v>390.5058545914045</v>
      </c>
      <c r="H73" s="169">
        <v>373.07236411608926</v>
      </c>
      <c r="J73" s="2"/>
      <c r="K73" s="3">
        <f t="shared" ref="K73:L92" si="23">IF(AND(ISNUMBER(F73),ISNUMBER(E73)),F73-E73,"miss")</f>
        <v>2.2278669646610183</v>
      </c>
      <c r="L73" s="3">
        <f t="shared" si="23"/>
        <v>-14.868588655592418</v>
      </c>
      <c r="M73" s="3">
        <f t="shared" ref="M73:M92" si="24">IF(AND(ISNUMBER(H73),ISNUMBER(F73)),H73-F73,"miss")</f>
        <v>-32.302079130907657</v>
      </c>
      <c r="N73" s="3">
        <f t="shared" ref="N73:N92" si="25">IF(AND(ISNUMBER(H73),ISNUMBER(G73)),H73-G73,"miss")</f>
        <v>-17.433490475315239</v>
      </c>
      <c r="O73" s="3"/>
      <c r="R73" s="178" t="str">
        <f t="shared" ref="R73:R92" si="26">B73</f>
        <v>Exptal</v>
      </c>
      <c r="S73" s="178" t="str">
        <f t="shared" ref="S73:S92" si="27">C73</f>
        <v>Kerry</v>
      </c>
      <c r="T73" s="177">
        <f>IF(ISNUMBER(D73),D73,"miss")</f>
        <v>13.776209008775542</v>
      </c>
      <c r="U73" s="3">
        <f t="shared" ref="U73:X92" si="28">IF(ISERROR(100*LN(E73)),"miss",100*LN(E73))</f>
        <v>599.93002086785884</v>
      </c>
      <c r="V73" s="3">
        <f t="shared" si="28"/>
        <v>600.48111911994567</v>
      </c>
      <c r="W73" s="3">
        <f t="shared" si="28"/>
        <v>596.74429617189662</v>
      </c>
      <c r="X73" s="3">
        <f t="shared" si="28"/>
        <v>592.17724065003108</v>
      </c>
      <c r="Y73" s="3"/>
      <c r="Z73" s="3"/>
      <c r="AA73" s="3">
        <f t="shared" ref="AA73:AB92" si="29">IF(AND(ISNUMBER(V73),ISNUMBER(U73)),V73-U73,"miss")</f>
        <v>0.55109825208683105</v>
      </c>
      <c r="AB73" s="3">
        <f t="shared" si="29"/>
        <v>-3.7368229480490527</v>
      </c>
      <c r="AC73" s="3">
        <f t="shared" ref="AC73:AC92" si="30">IF(AND(ISNUMBER(X73),ISNUMBER(V73)),X73-V73,"miss")</f>
        <v>-8.3038784699145936</v>
      </c>
      <c r="AD73" s="3">
        <f t="shared" ref="AD73:AD92" si="31">IF(AND(ISNUMBER(X73),ISNUMBER(W73)),X73-W73,"miss")</f>
        <v>-4.5670555218655409</v>
      </c>
      <c r="AE73" s="3"/>
    </row>
    <row r="74" spans="2:31" x14ac:dyDescent="0.25">
      <c r="B74" s="190" t="str">
        <f t="shared" ref="B74:B92" si="32">B73</f>
        <v>Exptal</v>
      </c>
      <c r="C74" s="178" t="s">
        <v>40</v>
      </c>
      <c r="D74" s="169">
        <v>11.007148422869262</v>
      </c>
      <c r="E74" s="169">
        <v>334.00109098856041</v>
      </c>
      <c r="F74" s="169">
        <v>336.3313760988346</v>
      </c>
      <c r="G74" s="169">
        <v>342.8293497564257</v>
      </c>
      <c r="H74" s="169">
        <v>362.38029857706357</v>
      </c>
      <c r="J74" s="2"/>
      <c r="K74" s="3">
        <f t="shared" si="23"/>
        <v>2.3302851102741897</v>
      </c>
      <c r="L74" s="3">
        <f t="shared" si="23"/>
        <v>6.4979736575911033</v>
      </c>
      <c r="M74" s="3">
        <f t="shared" si="24"/>
        <v>26.048922478228974</v>
      </c>
      <c r="N74" s="3">
        <f t="shared" si="25"/>
        <v>19.550948820637871</v>
      </c>
      <c r="O74" s="3"/>
      <c r="R74" s="190" t="str">
        <f t="shared" si="26"/>
        <v>Exptal</v>
      </c>
      <c r="S74" s="178" t="str">
        <f t="shared" si="27"/>
        <v>Kim</v>
      </c>
      <c r="T74" s="177">
        <f t="shared" ref="T74:T92" si="33">IF(ISNUMBER(D74),D74,"miss")</f>
        <v>11.007148422869262</v>
      </c>
      <c r="U74" s="3">
        <f t="shared" si="28"/>
        <v>581.11442594041819</v>
      </c>
      <c r="V74" s="3">
        <f t="shared" si="28"/>
        <v>581.80969123390355</v>
      </c>
      <c r="W74" s="3">
        <f t="shared" si="28"/>
        <v>583.72328007844999</v>
      </c>
      <c r="X74" s="3">
        <f t="shared" si="28"/>
        <v>589.26942089412375</v>
      </c>
      <c r="Y74" s="3"/>
      <c r="Z74" s="3"/>
      <c r="AA74" s="3">
        <f t="shared" si="29"/>
        <v>0.69526529348536315</v>
      </c>
      <c r="AB74" s="3">
        <f t="shared" si="29"/>
        <v>1.9135888445464388</v>
      </c>
      <c r="AC74" s="3">
        <f t="shared" si="30"/>
        <v>7.459729660220205</v>
      </c>
      <c r="AD74" s="3">
        <f t="shared" si="31"/>
        <v>5.5461408156737662</v>
      </c>
      <c r="AE74" s="3"/>
    </row>
    <row r="75" spans="2:31" x14ac:dyDescent="0.25">
      <c r="B75" s="190" t="str">
        <f t="shared" si="32"/>
        <v>Exptal</v>
      </c>
      <c r="C75" s="178" t="s">
        <v>71</v>
      </c>
      <c r="D75" s="169">
        <v>11.384459813783169</v>
      </c>
      <c r="E75" s="169">
        <v>384.63664281481095</v>
      </c>
      <c r="F75" s="169">
        <v>383.27935073908753</v>
      </c>
      <c r="G75" s="169">
        <v>401.43393886848372</v>
      </c>
      <c r="H75" s="169">
        <v>393.33612121224741</v>
      </c>
      <c r="J75" s="2"/>
      <c r="K75" s="3">
        <f t="shared" si="23"/>
        <v>-1.3572920757234215</v>
      </c>
      <c r="L75" s="3">
        <f t="shared" si="23"/>
        <v>18.154588129396188</v>
      </c>
      <c r="M75" s="3">
        <f t="shared" si="24"/>
        <v>10.056770473159872</v>
      </c>
      <c r="N75" s="3">
        <f t="shared" si="25"/>
        <v>-8.097817656236316</v>
      </c>
      <c r="O75" s="3"/>
      <c r="R75" s="190" t="str">
        <f t="shared" si="26"/>
        <v>Exptal</v>
      </c>
      <c r="S75" s="178" t="str">
        <f t="shared" si="27"/>
        <v>Kylie</v>
      </c>
      <c r="T75" s="177">
        <f t="shared" si="33"/>
        <v>11.384459813783169</v>
      </c>
      <c r="U75" s="3">
        <f t="shared" si="28"/>
        <v>595.22991037458053</v>
      </c>
      <c r="V75" s="3">
        <f t="shared" si="28"/>
        <v>594.87640986136307</v>
      </c>
      <c r="W75" s="3">
        <f t="shared" si="28"/>
        <v>599.50429840298455</v>
      </c>
      <c r="X75" s="3">
        <f t="shared" si="28"/>
        <v>597.466451659423</v>
      </c>
      <c r="Y75" s="3"/>
      <c r="Z75" s="3"/>
      <c r="AA75" s="3">
        <f t="shared" si="29"/>
        <v>-0.35350051321745468</v>
      </c>
      <c r="AB75" s="3">
        <f t="shared" si="29"/>
        <v>4.6278885416214735</v>
      </c>
      <c r="AC75" s="3">
        <f t="shared" si="30"/>
        <v>2.5900417980599286</v>
      </c>
      <c r="AD75" s="3">
        <f t="shared" si="31"/>
        <v>-2.0378467435615448</v>
      </c>
      <c r="AE75" s="3"/>
    </row>
    <row r="76" spans="2:31" x14ac:dyDescent="0.25">
      <c r="B76" s="190" t="str">
        <f t="shared" si="32"/>
        <v>Exptal</v>
      </c>
      <c r="C76" s="178" t="s">
        <v>72</v>
      </c>
      <c r="D76" s="169">
        <v>10.772839822582032</v>
      </c>
      <c r="E76" s="169">
        <v>367.88054741255769</v>
      </c>
      <c r="F76" s="169">
        <v>371.25480723915427</v>
      </c>
      <c r="G76" s="169">
        <v>382.16871158283482</v>
      </c>
      <c r="H76" s="169">
        <v>382.16803102892709</v>
      </c>
      <c r="J76" s="2"/>
      <c r="K76" s="3">
        <f t="shared" si="23"/>
        <v>3.3742598265965853</v>
      </c>
      <c r="L76" s="3">
        <f t="shared" si="23"/>
        <v>10.913904343680542</v>
      </c>
      <c r="M76" s="3">
        <f t="shared" si="24"/>
        <v>10.913223789772815</v>
      </c>
      <c r="N76" s="3">
        <f t="shared" si="25"/>
        <v>-6.8055390772769897E-4</v>
      </c>
      <c r="O76" s="3"/>
      <c r="R76" s="190" t="str">
        <f t="shared" si="26"/>
        <v>Exptal</v>
      </c>
      <c r="S76" s="178" t="str">
        <f t="shared" si="27"/>
        <v>Lauren</v>
      </c>
      <c r="T76" s="177">
        <f t="shared" si="33"/>
        <v>10.772839822582032</v>
      </c>
      <c r="U76" s="3">
        <f t="shared" si="28"/>
        <v>590.77582860527377</v>
      </c>
      <c r="V76" s="3">
        <f t="shared" si="28"/>
        <v>591.688863882541</v>
      </c>
      <c r="W76" s="3">
        <f t="shared" si="28"/>
        <v>594.58621644646439</v>
      </c>
      <c r="X76" s="3">
        <f t="shared" si="28"/>
        <v>594.58603836948078</v>
      </c>
      <c r="Y76" s="3"/>
      <c r="Z76" s="3"/>
      <c r="AA76" s="3">
        <f t="shared" si="29"/>
        <v>0.91303527726722677</v>
      </c>
      <c r="AB76" s="3">
        <f t="shared" si="29"/>
        <v>2.8973525639233912</v>
      </c>
      <c r="AC76" s="3">
        <f t="shared" si="30"/>
        <v>2.8971744869397753</v>
      </c>
      <c r="AD76" s="3">
        <f t="shared" si="31"/>
        <v>-1.7807698361593793E-4</v>
      </c>
      <c r="AE76" s="3"/>
    </row>
    <row r="77" spans="2:31" x14ac:dyDescent="0.25">
      <c r="B77" s="190" t="str">
        <f t="shared" si="32"/>
        <v>Exptal</v>
      </c>
      <c r="C77" s="178" t="s">
        <v>35</v>
      </c>
      <c r="D77" s="169">
        <v>6.1670195648881609</v>
      </c>
      <c r="E77" s="169">
        <v>418.88159397439637</v>
      </c>
      <c r="F77" s="169">
        <v>433.36812038662424</v>
      </c>
      <c r="G77" s="169">
        <v>465.66045918584842</v>
      </c>
      <c r="H77" s="169">
        <v>455.04695682019081</v>
      </c>
      <c r="J77" s="2"/>
      <c r="K77" s="3">
        <f t="shared" si="23"/>
        <v>14.486526412227875</v>
      </c>
      <c r="L77" s="3">
        <f t="shared" si="23"/>
        <v>32.292338799224183</v>
      </c>
      <c r="M77" s="3">
        <f t="shared" si="24"/>
        <v>21.678836433566573</v>
      </c>
      <c r="N77" s="3">
        <f t="shared" si="25"/>
        <v>-10.61350236565761</v>
      </c>
      <c r="O77" s="3"/>
      <c r="R77" s="190" t="str">
        <f t="shared" si="26"/>
        <v>Exptal</v>
      </c>
      <c r="S77" s="178" t="str">
        <f t="shared" si="27"/>
        <v>Lee</v>
      </c>
      <c r="T77" s="177">
        <f t="shared" si="33"/>
        <v>6.1670195648881609</v>
      </c>
      <c r="U77" s="3">
        <f t="shared" si="28"/>
        <v>603.75882880389622</v>
      </c>
      <c r="V77" s="3">
        <f t="shared" si="28"/>
        <v>607.15875293747138</v>
      </c>
      <c r="W77" s="3">
        <f t="shared" si="28"/>
        <v>614.34567401904428</v>
      </c>
      <c r="X77" s="3">
        <f t="shared" si="28"/>
        <v>612.04006154286276</v>
      </c>
      <c r="Y77" s="3"/>
      <c r="Z77" s="3"/>
      <c r="AA77" s="3">
        <f t="shared" si="29"/>
        <v>3.3999241335751549</v>
      </c>
      <c r="AB77" s="3">
        <f t="shared" si="29"/>
        <v>7.1869210815729048</v>
      </c>
      <c r="AC77" s="3">
        <f t="shared" si="30"/>
        <v>4.8813086053913821</v>
      </c>
      <c r="AD77" s="3">
        <f t="shared" si="31"/>
        <v>-2.3056124761815227</v>
      </c>
      <c r="AE77" s="3"/>
    </row>
    <row r="78" spans="2:31" x14ac:dyDescent="0.25">
      <c r="B78" s="190" t="str">
        <f t="shared" si="32"/>
        <v>Exptal</v>
      </c>
      <c r="C78" s="178" t="s">
        <v>36</v>
      </c>
      <c r="D78" s="169">
        <v>3.0700081084607245</v>
      </c>
      <c r="E78" s="169">
        <v>406.59314654069118</v>
      </c>
      <c r="F78" s="169">
        <v>412.84497388091523</v>
      </c>
      <c r="G78" s="169">
        <v>405.90915434975204</v>
      </c>
      <c r="H78" s="169">
        <v>423.63219714374424</v>
      </c>
      <c r="J78" s="2"/>
      <c r="K78" s="3">
        <f t="shared" si="23"/>
        <v>6.2518273402240538</v>
      </c>
      <c r="L78" s="3">
        <f t="shared" si="23"/>
        <v>-6.9358195311631903</v>
      </c>
      <c r="M78" s="3">
        <f t="shared" si="24"/>
        <v>10.787223262829002</v>
      </c>
      <c r="N78" s="3">
        <f t="shared" si="25"/>
        <v>17.723042793992192</v>
      </c>
      <c r="O78" s="3"/>
      <c r="R78" s="190" t="str">
        <f t="shared" si="26"/>
        <v>Exptal</v>
      </c>
      <c r="S78" s="178" t="str">
        <f t="shared" si="27"/>
        <v>Leslie</v>
      </c>
      <c r="T78" s="177">
        <f t="shared" si="33"/>
        <v>3.0700081084607245</v>
      </c>
      <c r="U78" s="3">
        <f t="shared" si="28"/>
        <v>600.78130455201961</v>
      </c>
      <c r="V78" s="3">
        <f t="shared" si="28"/>
        <v>602.30721565878423</v>
      </c>
      <c r="W78" s="3">
        <f t="shared" si="28"/>
        <v>600.61293768049995</v>
      </c>
      <c r="X78" s="3">
        <f t="shared" si="28"/>
        <v>604.88656192045414</v>
      </c>
      <c r="Y78" s="3"/>
      <c r="Z78" s="3"/>
      <c r="AA78" s="3">
        <f t="shared" si="29"/>
        <v>1.5259111067646245</v>
      </c>
      <c r="AB78" s="3">
        <f t="shared" si="29"/>
        <v>-1.6942779782842763</v>
      </c>
      <c r="AC78" s="3">
        <f t="shared" si="30"/>
        <v>2.5793462616699117</v>
      </c>
      <c r="AD78" s="3">
        <f t="shared" si="31"/>
        <v>4.2736242399541879</v>
      </c>
      <c r="AE78" s="3"/>
    </row>
    <row r="79" spans="2:31" x14ac:dyDescent="0.25">
      <c r="B79" s="190" t="str">
        <f t="shared" si="32"/>
        <v>Exptal</v>
      </c>
      <c r="C79" s="178" t="s">
        <v>73</v>
      </c>
      <c r="D79" s="169">
        <v>6.0266561785287349</v>
      </c>
      <c r="E79" s="169">
        <v>374.70795596566586</v>
      </c>
      <c r="F79" s="169">
        <v>416.01369647568481</v>
      </c>
      <c r="G79" s="169">
        <v>433.77355019076322</v>
      </c>
      <c r="H79" s="169">
        <v>421.37713999814741</v>
      </c>
      <c r="J79" s="2"/>
      <c r="K79" s="3">
        <f t="shared" si="23"/>
        <v>41.30574051001895</v>
      </c>
      <c r="L79" s="3">
        <f t="shared" si="23"/>
        <v>17.759853715078407</v>
      </c>
      <c r="M79" s="3">
        <f t="shared" si="24"/>
        <v>5.3634435224626031</v>
      </c>
      <c r="N79" s="3">
        <f t="shared" si="25"/>
        <v>-12.396410192615804</v>
      </c>
      <c r="O79" s="3"/>
      <c r="R79" s="190" t="str">
        <f t="shared" si="26"/>
        <v>Exptal</v>
      </c>
      <c r="S79" s="178" t="str">
        <f t="shared" si="27"/>
        <v>Lindsay</v>
      </c>
      <c r="T79" s="177">
        <f t="shared" si="33"/>
        <v>6.0266561785287349</v>
      </c>
      <c r="U79" s="3">
        <f t="shared" si="28"/>
        <v>592.61469384689849</v>
      </c>
      <c r="V79" s="3">
        <f t="shared" si="28"/>
        <v>603.07181839396685</v>
      </c>
      <c r="W79" s="3">
        <f t="shared" si="28"/>
        <v>607.25226241751091</v>
      </c>
      <c r="X79" s="3">
        <f t="shared" si="28"/>
        <v>604.35282521486204</v>
      </c>
      <c r="Y79" s="3"/>
      <c r="Z79" s="3"/>
      <c r="AA79" s="3">
        <f t="shared" si="29"/>
        <v>10.457124547068361</v>
      </c>
      <c r="AB79" s="3">
        <f t="shared" si="29"/>
        <v>4.1804440235440552</v>
      </c>
      <c r="AC79" s="3">
        <f t="shared" si="30"/>
        <v>1.2810068208951861</v>
      </c>
      <c r="AD79" s="3">
        <f t="shared" si="31"/>
        <v>-2.8994372026488691</v>
      </c>
      <c r="AE79" s="3"/>
    </row>
    <row r="80" spans="2:31" x14ac:dyDescent="0.25">
      <c r="B80" s="190" t="str">
        <f t="shared" si="32"/>
        <v>Exptal</v>
      </c>
      <c r="C80" s="178" t="s">
        <v>37</v>
      </c>
      <c r="D80" s="169">
        <v>8.5795952343946524</v>
      </c>
      <c r="E80" s="169">
        <v>395.38240935957685</v>
      </c>
      <c r="F80" s="169">
        <v>403.27575879319829</v>
      </c>
      <c r="G80" s="169">
        <v>419.23076795393854</v>
      </c>
      <c r="H80" s="169">
        <v>384.72095376010992</v>
      </c>
      <c r="J80" s="2"/>
      <c r="K80" s="3">
        <f t="shared" si="23"/>
        <v>7.893349433621438</v>
      </c>
      <c r="L80" s="3">
        <f t="shared" si="23"/>
        <v>15.955009160740246</v>
      </c>
      <c r="M80" s="3">
        <f t="shared" si="24"/>
        <v>-18.554805033088371</v>
      </c>
      <c r="N80" s="3">
        <f t="shared" si="25"/>
        <v>-34.509814193828618</v>
      </c>
      <c r="O80" s="3"/>
      <c r="R80" s="190" t="str">
        <f t="shared" si="26"/>
        <v>Exptal</v>
      </c>
      <c r="S80" s="178" t="str">
        <f t="shared" si="27"/>
        <v>Morgan</v>
      </c>
      <c r="T80" s="177">
        <f t="shared" si="33"/>
        <v>8.5795952343946524</v>
      </c>
      <c r="U80" s="3">
        <f t="shared" si="28"/>
        <v>597.98534215313498</v>
      </c>
      <c r="V80" s="3">
        <f t="shared" si="28"/>
        <v>599.96205929396604</v>
      </c>
      <c r="W80" s="3">
        <f t="shared" si="28"/>
        <v>603.84215271501023</v>
      </c>
      <c r="X80" s="3">
        <f t="shared" si="28"/>
        <v>595.25182760683049</v>
      </c>
      <c r="Y80" s="3"/>
      <c r="Z80" s="3"/>
      <c r="AA80" s="3">
        <f t="shared" si="29"/>
        <v>1.976717140831056</v>
      </c>
      <c r="AB80" s="3">
        <f t="shared" si="29"/>
        <v>3.8800934210441937</v>
      </c>
      <c r="AC80" s="3">
        <f t="shared" si="30"/>
        <v>-4.710231687135547</v>
      </c>
      <c r="AD80" s="3">
        <f t="shared" si="31"/>
        <v>-8.5903251081797407</v>
      </c>
      <c r="AE80" s="3"/>
    </row>
    <row r="81" spans="2:31" x14ac:dyDescent="0.25">
      <c r="B81" s="190" t="str">
        <f t="shared" si="32"/>
        <v>Exptal</v>
      </c>
      <c r="C81" s="178" t="s">
        <v>41</v>
      </c>
      <c r="D81" s="169">
        <v>10.271094847436206</v>
      </c>
      <c r="E81" s="169">
        <v>385.15136567229769</v>
      </c>
      <c r="F81" s="169">
        <v>403.16425647644485</v>
      </c>
      <c r="G81" s="169">
        <v>390.42270698937534</v>
      </c>
      <c r="H81" s="169">
        <v>401.45854841066387</v>
      </c>
      <c r="J81" s="2"/>
      <c r="K81" s="3">
        <f t="shared" si="23"/>
        <v>18.012890804147162</v>
      </c>
      <c r="L81" s="3">
        <f t="shared" si="23"/>
        <v>-12.741549487069506</v>
      </c>
      <c r="M81" s="3">
        <f t="shared" si="24"/>
        <v>-1.705708065780982</v>
      </c>
      <c r="N81" s="3">
        <f t="shared" si="25"/>
        <v>11.035841421288524</v>
      </c>
      <c r="O81" s="3"/>
      <c r="R81" s="190" t="str">
        <f t="shared" si="26"/>
        <v>Exptal</v>
      </c>
      <c r="S81" s="178" t="str">
        <f t="shared" si="27"/>
        <v>Pat</v>
      </c>
      <c r="T81" s="177">
        <f t="shared" si="33"/>
        <v>10.271094847436206</v>
      </c>
      <c r="U81" s="3">
        <f t="shared" si="28"/>
        <v>595.3636414611974</v>
      </c>
      <c r="V81" s="3">
        <f t="shared" si="28"/>
        <v>599.9344063215558</v>
      </c>
      <c r="W81" s="3">
        <f t="shared" si="28"/>
        <v>596.7230016242429</v>
      </c>
      <c r="X81" s="3">
        <f t="shared" si="28"/>
        <v>599.51042862404847</v>
      </c>
      <c r="Y81" s="3"/>
      <c r="Z81" s="3"/>
      <c r="AA81" s="3">
        <f t="shared" si="29"/>
        <v>4.5707648603583948</v>
      </c>
      <c r="AB81" s="3">
        <f t="shared" si="29"/>
        <v>-3.2114046973129007</v>
      </c>
      <c r="AC81" s="3">
        <f t="shared" si="30"/>
        <v>-0.4239776975073255</v>
      </c>
      <c r="AD81" s="3">
        <f t="shared" si="31"/>
        <v>2.7874269998055752</v>
      </c>
      <c r="AE81" s="3"/>
    </row>
    <row r="82" spans="2:31" x14ac:dyDescent="0.25">
      <c r="B82" s="190" t="str">
        <f t="shared" si="32"/>
        <v>Exptal</v>
      </c>
      <c r="C82" s="178" t="s">
        <v>74</v>
      </c>
      <c r="D82" s="169">
        <v>3.2439257981571377</v>
      </c>
      <c r="E82" s="169">
        <v>379.15346641466692</v>
      </c>
      <c r="F82" s="169">
        <v>398.37046939082137</v>
      </c>
      <c r="G82" s="169">
        <v>439.73397669839278</v>
      </c>
      <c r="H82" s="169">
        <v>438.73316377172949</v>
      </c>
      <c r="J82" s="2"/>
      <c r="K82" s="3">
        <f t="shared" si="23"/>
        <v>19.217002976154447</v>
      </c>
      <c r="L82" s="3">
        <f t="shared" si="23"/>
        <v>41.36350730757141</v>
      </c>
      <c r="M82" s="3">
        <f t="shared" si="24"/>
        <v>40.362694380908124</v>
      </c>
      <c r="N82" s="3">
        <f t="shared" si="25"/>
        <v>-1.0008129266632864</v>
      </c>
      <c r="O82" s="3"/>
      <c r="R82" s="190" t="str">
        <f t="shared" si="26"/>
        <v>Exptal</v>
      </c>
      <c r="S82" s="178" t="str">
        <f t="shared" si="27"/>
        <v>Reilly</v>
      </c>
      <c r="T82" s="177">
        <f t="shared" si="33"/>
        <v>3.2439257981571377</v>
      </c>
      <c r="U82" s="3">
        <f t="shared" si="28"/>
        <v>593.79410476995508</v>
      </c>
      <c r="V82" s="3">
        <f t="shared" si="28"/>
        <v>598.73823999481908</v>
      </c>
      <c r="W82" s="3">
        <f t="shared" si="28"/>
        <v>608.61699456562417</v>
      </c>
      <c r="X82" s="3">
        <f t="shared" si="28"/>
        <v>608.38914008739596</v>
      </c>
      <c r="Y82" s="3"/>
      <c r="Z82" s="3"/>
      <c r="AA82" s="3">
        <f t="shared" si="29"/>
        <v>4.9441352248639987</v>
      </c>
      <c r="AB82" s="3">
        <f t="shared" si="29"/>
        <v>9.8787545708050857</v>
      </c>
      <c r="AC82" s="3">
        <f t="shared" si="30"/>
        <v>9.650900092576876</v>
      </c>
      <c r="AD82" s="3">
        <f t="shared" si="31"/>
        <v>-0.2278544782282097</v>
      </c>
      <c r="AE82" s="3"/>
    </row>
    <row r="83" spans="2:31" x14ac:dyDescent="0.25">
      <c r="B83" s="190" t="str">
        <f t="shared" si="32"/>
        <v>Exptal</v>
      </c>
      <c r="C83" s="178" t="s">
        <v>38</v>
      </c>
      <c r="D83" s="169">
        <v>9.0452455283301205</v>
      </c>
      <c r="E83" s="169">
        <v>393.41649273353374</v>
      </c>
      <c r="F83" s="169">
        <v>400.06724710884555</v>
      </c>
      <c r="G83" s="169">
        <v>410.91937938544851</v>
      </c>
      <c r="H83" s="169">
        <v>389.58231705540675</v>
      </c>
      <c r="J83" s="2"/>
      <c r="K83" s="3">
        <f t="shared" si="23"/>
        <v>6.6507543753118057</v>
      </c>
      <c r="L83" s="3">
        <f t="shared" si="23"/>
        <v>10.852132276602958</v>
      </c>
      <c r="M83" s="3">
        <f t="shared" si="24"/>
        <v>-10.484930053438802</v>
      </c>
      <c r="N83" s="3">
        <f t="shared" si="25"/>
        <v>-21.337062330041761</v>
      </c>
      <c r="O83" s="3"/>
      <c r="R83" s="190" t="str">
        <f t="shared" si="26"/>
        <v>Exptal</v>
      </c>
      <c r="S83" s="178" t="str">
        <f t="shared" si="27"/>
        <v>Robin</v>
      </c>
      <c r="T83" s="177">
        <f t="shared" si="33"/>
        <v>9.0452455283301205</v>
      </c>
      <c r="U83" s="3">
        <f t="shared" si="28"/>
        <v>597.48688286489755</v>
      </c>
      <c r="V83" s="3">
        <f t="shared" si="28"/>
        <v>599.16326507498866</v>
      </c>
      <c r="W83" s="3">
        <f t="shared" si="28"/>
        <v>601.83970380418714</v>
      </c>
      <c r="X83" s="3">
        <f t="shared" si="28"/>
        <v>596.5075183303552</v>
      </c>
      <c r="Y83" s="3"/>
      <c r="Z83" s="3"/>
      <c r="AA83" s="3">
        <f t="shared" si="29"/>
        <v>1.6763822100911057</v>
      </c>
      <c r="AB83" s="3">
        <f t="shared" si="29"/>
        <v>2.6764387291984804</v>
      </c>
      <c r="AC83" s="3">
        <f t="shared" si="30"/>
        <v>-2.6557467446334613</v>
      </c>
      <c r="AD83" s="3">
        <f t="shared" si="31"/>
        <v>-5.3321854738319416</v>
      </c>
      <c r="AE83" s="3"/>
    </row>
    <row r="84" spans="2:31" x14ac:dyDescent="0.25">
      <c r="B84" s="190" t="str">
        <f t="shared" si="32"/>
        <v>Exptal</v>
      </c>
      <c r="C84" s="178" t="s">
        <v>75</v>
      </c>
      <c r="D84" s="169">
        <v>10.485463397837401</v>
      </c>
      <c r="E84" s="169">
        <v>375.01124278374743</v>
      </c>
      <c r="F84" s="169">
        <v>395.59710221988485</v>
      </c>
      <c r="G84" s="169">
        <v>388.88111890466695</v>
      </c>
      <c r="H84" s="169">
        <v>389.28871926083639</v>
      </c>
      <c r="J84" s="2"/>
      <c r="K84" s="3">
        <f t="shared" si="23"/>
        <v>20.585859436137412</v>
      </c>
      <c r="L84" s="3">
        <f t="shared" si="23"/>
        <v>-6.7159833152178976</v>
      </c>
      <c r="M84" s="3">
        <f t="shared" si="24"/>
        <v>-6.3083829590484584</v>
      </c>
      <c r="N84" s="3">
        <f t="shared" si="25"/>
        <v>0.40760035616943924</v>
      </c>
      <c r="O84" s="3"/>
      <c r="R84" s="190" t="str">
        <f t="shared" si="26"/>
        <v>Exptal</v>
      </c>
      <c r="S84" s="178" t="str">
        <f t="shared" si="27"/>
        <v>Sage</v>
      </c>
      <c r="T84" s="177">
        <f t="shared" si="33"/>
        <v>10.485463397837401</v>
      </c>
      <c r="U84" s="3">
        <f t="shared" si="28"/>
        <v>592.69560062776577</v>
      </c>
      <c r="V84" s="3">
        <f t="shared" si="28"/>
        <v>598.03962746961599</v>
      </c>
      <c r="W84" s="3">
        <f t="shared" si="28"/>
        <v>596.32736899822555</v>
      </c>
      <c r="X84" s="3">
        <f t="shared" si="28"/>
        <v>596.43212772143863</v>
      </c>
      <c r="Y84" s="3"/>
      <c r="Z84" s="3"/>
      <c r="AA84" s="3">
        <f t="shared" si="29"/>
        <v>5.3440268418502228</v>
      </c>
      <c r="AB84" s="3">
        <f t="shared" si="29"/>
        <v>-1.7122584713904416</v>
      </c>
      <c r="AC84" s="3">
        <f t="shared" si="30"/>
        <v>-1.6074997481773607</v>
      </c>
      <c r="AD84" s="3">
        <f t="shared" si="31"/>
        <v>0.10475872321308088</v>
      </c>
      <c r="AE84" s="3"/>
    </row>
    <row r="85" spans="2:31" x14ac:dyDescent="0.25">
      <c r="B85" s="190" t="str">
        <f t="shared" si="32"/>
        <v>Exptal</v>
      </c>
      <c r="C85" s="178" t="s">
        <v>1</v>
      </c>
      <c r="D85" s="169">
        <v>6.2053919306283118</v>
      </c>
      <c r="E85" s="169">
        <v>390.8040203986892</v>
      </c>
      <c r="F85" s="169">
        <v>375.95201900558465</v>
      </c>
      <c r="G85" s="169">
        <v>406.81274863325132</v>
      </c>
      <c r="H85" s="169">
        <v>389.57062003196654</v>
      </c>
      <c r="J85" s="2"/>
      <c r="K85" s="3">
        <f t="shared" si="23"/>
        <v>-14.852001393104558</v>
      </c>
      <c r="L85" s="3">
        <f t="shared" si="23"/>
        <v>30.860729627666672</v>
      </c>
      <c r="M85" s="3">
        <f t="shared" si="24"/>
        <v>13.618601026381896</v>
      </c>
      <c r="N85" s="3">
        <f t="shared" si="25"/>
        <v>-17.242128601284776</v>
      </c>
      <c r="O85" s="3"/>
      <c r="R85" s="190" t="str">
        <f t="shared" si="26"/>
        <v>Exptal</v>
      </c>
      <c r="S85" s="178" t="str">
        <f t="shared" si="27"/>
        <v>Sam</v>
      </c>
      <c r="T85" s="177">
        <f t="shared" si="33"/>
        <v>6.2053919306283118</v>
      </c>
      <c r="U85" s="3">
        <f t="shared" si="28"/>
        <v>596.82062077275054</v>
      </c>
      <c r="V85" s="3">
        <f t="shared" si="28"/>
        <v>592.94615262194702</v>
      </c>
      <c r="W85" s="3">
        <f t="shared" si="28"/>
        <v>600.83530025064886</v>
      </c>
      <c r="X85" s="3">
        <f t="shared" si="28"/>
        <v>596.50451583292897</v>
      </c>
      <c r="Y85" s="3"/>
      <c r="Z85" s="3"/>
      <c r="AA85" s="3">
        <f t="shared" si="29"/>
        <v>-3.8744681508035228</v>
      </c>
      <c r="AB85" s="3">
        <f t="shared" si="29"/>
        <v>7.8891476287018349</v>
      </c>
      <c r="AC85" s="3">
        <f t="shared" si="30"/>
        <v>3.5583632109819519</v>
      </c>
      <c r="AD85" s="3">
        <f t="shared" si="31"/>
        <v>-4.3307844177198831</v>
      </c>
      <c r="AE85" s="3"/>
    </row>
    <row r="86" spans="2:31" x14ac:dyDescent="0.25">
      <c r="B86" s="190" t="str">
        <f t="shared" si="32"/>
        <v>Exptal</v>
      </c>
      <c r="C86" s="178" t="s">
        <v>76</v>
      </c>
      <c r="D86" s="169">
        <v>10.043285995156898</v>
      </c>
      <c r="E86" s="169">
        <v>370.95553267695925</v>
      </c>
      <c r="F86" s="169">
        <v>398.04535447805426</v>
      </c>
      <c r="G86" s="169">
        <v>431.45459361292768</v>
      </c>
      <c r="H86" s="169">
        <v>394.18159410538607</v>
      </c>
      <c r="J86" s="2"/>
      <c r="K86" s="3">
        <f t="shared" si="23"/>
        <v>27.089821801095013</v>
      </c>
      <c r="L86" s="3">
        <f t="shared" si="23"/>
        <v>33.409239134873417</v>
      </c>
      <c r="M86" s="3">
        <f t="shared" si="24"/>
        <v>-3.8637603726681959</v>
      </c>
      <c r="N86" s="3">
        <f t="shared" si="25"/>
        <v>-37.272999507541613</v>
      </c>
      <c r="O86" s="3"/>
      <c r="R86" s="190" t="str">
        <f t="shared" si="26"/>
        <v>Exptal</v>
      </c>
      <c r="S86" s="178" t="str">
        <f t="shared" si="27"/>
        <v>Sidney</v>
      </c>
      <c r="T86" s="177">
        <f t="shared" si="33"/>
        <v>10.043285995156898</v>
      </c>
      <c r="U86" s="3">
        <f t="shared" si="28"/>
        <v>591.60821974103021</v>
      </c>
      <c r="V86" s="3">
        <f t="shared" si="28"/>
        <v>598.65659547669588</v>
      </c>
      <c r="W86" s="3">
        <f t="shared" si="28"/>
        <v>606.71622758160015</v>
      </c>
      <c r="X86" s="3">
        <f t="shared" si="28"/>
        <v>597.68117018613668</v>
      </c>
      <c r="Y86" s="3"/>
      <c r="Z86" s="3"/>
      <c r="AA86" s="3">
        <f t="shared" si="29"/>
        <v>7.0483757356656724</v>
      </c>
      <c r="AB86" s="3">
        <f t="shared" si="29"/>
        <v>8.0596321049042672</v>
      </c>
      <c r="AC86" s="3">
        <f t="shared" si="30"/>
        <v>-0.97542529055920113</v>
      </c>
      <c r="AD86" s="3">
        <f t="shared" si="31"/>
        <v>-9.0350573954634683</v>
      </c>
      <c r="AE86" s="3"/>
    </row>
    <row r="87" spans="2:31" x14ac:dyDescent="0.25">
      <c r="B87" s="190" t="str">
        <f t="shared" si="32"/>
        <v>Exptal</v>
      </c>
      <c r="C87" s="178" t="s">
        <v>77</v>
      </c>
      <c r="D87" s="169">
        <v>8.0160458643810895</v>
      </c>
      <c r="E87" s="169">
        <v>407.22499244860813</v>
      </c>
      <c r="F87" s="169">
        <v>412.77797223959817</v>
      </c>
      <c r="G87" s="169">
        <v>428.90918269344354</v>
      </c>
      <c r="H87" s="169">
        <v>414.76045401124065</v>
      </c>
      <c r="J87" s="2"/>
      <c r="K87" s="3">
        <f t="shared" si="23"/>
        <v>5.5529797909900367</v>
      </c>
      <c r="L87" s="3">
        <f t="shared" si="23"/>
        <v>16.13121045384537</v>
      </c>
      <c r="M87" s="3">
        <f t="shared" si="24"/>
        <v>1.9824817716424832</v>
      </c>
      <c r="N87" s="3">
        <f t="shared" si="25"/>
        <v>-14.148728682202886</v>
      </c>
      <c r="O87" s="3"/>
      <c r="R87" s="190" t="str">
        <f t="shared" si="26"/>
        <v>Exptal</v>
      </c>
      <c r="S87" s="178" t="str">
        <f t="shared" si="27"/>
        <v>Terry</v>
      </c>
      <c r="T87" s="177">
        <f t="shared" si="33"/>
        <v>8.0160458643810895</v>
      </c>
      <c r="U87" s="3">
        <f t="shared" si="28"/>
        <v>600.9365839700132</v>
      </c>
      <c r="V87" s="3">
        <f t="shared" si="28"/>
        <v>602.29098509208814</v>
      </c>
      <c r="W87" s="3">
        <f t="shared" si="28"/>
        <v>606.12452011641142</v>
      </c>
      <c r="X87" s="3">
        <f t="shared" si="28"/>
        <v>602.77011343255106</v>
      </c>
      <c r="Y87" s="3"/>
      <c r="Z87" s="3"/>
      <c r="AA87" s="3">
        <f t="shared" si="29"/>
        <v>1.3544011220749326</v>
      </c>
      <c r="AB87" s="3">
        <f t="shared" si="29"/>
        <v>3.8335350243232824</v>
      </c>
      <c r="AC87" s="3">
        <f t="shared" si="30"/>
        <v>0.47912834046292119</v>
      </c>
      <c r="AD87" s="3">
        <f t="shared" si="31"/>
        <v>-3.3544066838603612</v>
      </c>
      <c r="AE87" s="3"/>
    </row>
    <row r="88" spans="2:31" x14ac:dyDescent="0.25">
      <c r="B88" s="190" t="str">
        <f t="shared" si="32"/>
        <v>Exptal</v>
      </c>
      <c r="C88" s="178" t="s">
        <v>78</v>
      </c>
      <c r="D88" s="169">
        <v>5.9277811672944249</v>
      </c>
      <c r="E88" s="169">
        <v>403.46891134188331</v>
      </c>
      <c r="F88" s="169">
        <v>392.39800763812821</v>
      </c>
      <c r="G88" s="169">
        <v>403.6320663549688</v>
      </c>
      <c r="H88" s="169">
        <v>411.25104996077351</v>
      </c>
      <c r="J88" s="2"/>
      <c r="K88" s="3">
        <f t="shared" si="23"/>
        <v>-11.070903703755107</v>
      </c>
      <c r="L88" s="3">
        <f t="shared" si="23"/>
        <v>11.234058716840593</v>
      </c>
      <c r="M88" s="3">
        <f t="shared" si="24"/>
        <v>18.853042322645308</v>
      </c>
      <c r="N88" s="3">
        <f t="shared" si="25"/>
        <v>7.6189836058047149</v>
      </c>
      <c r="O88" s="3"/>
      <c r="R88" s="190" t="str">
        <f t="shared" si="26"/>
        <v>Exptal</v>
      </c>
      <c r="S88" s="178" t="str">
        <f t="shared" si="27"/>
        <v>Tristan</v>
      </c>
      <c r="T88" s="177">
        <f t="shared" si="33"/>
        <v>5.9277811672944249</v>
      </c>
      <c r="U88" s="3">
        <f t="shared" si="28"/>
        <v>600.00994372618516</v>
      </c>
      <c r="V88" s="3">
        <f t="shared" si="28"/>
        <v>597.22766503035177</v>
      </c>
      <c r="W88" s="3">
        <f t="shared" si="28"/>
        <v>600.05037361533562</v>
      </c>
      <c r="X88" s="3">
        <f t="shared" si="28"/>
        <v>601.92038551724283</v>
      </c>
      <c r="Y88" s="3"/>
      <c r="Z88" s="3"/>
      <c r="AA88" s="3">
        <f t="shared" si="29"/>
        <v>-2.7822786958333836</v>
      </c>
      <c r="AB88" s="3">
        <f t="shared" si="29"/>
        <v>2.8227085849838431</v>
      </c>
      <c r="AC88" s="3">
        <f t="shared" si="30"/>
        <v>4.6927204868910621</v>
      </c>
      <c r="AD88" s="3">
        <f t="shared" si="31"/>
        <v>1.870011901907219</v>
      </c>
      <c r="AE88" s="3"/>
    </row>
    <row r="89" spans="2:31" x14ac:dyDescent="0.25">
      <c r="B89" s="190" t="str">
        <f t="shared" si="32"/>
        <v>Exptal</v>
      </c>
      <c r="C89" s="178" t="s">
        <v>79</v>
      </c>
      <c r="D89" s="169">
        <v>9.3916550088212816</v>
      </c>
      <c r="E89" s="169">
        <v>376.56134784047595</v>
      </c>
      <c r="F89" s="169">
        <v>384.19994909462747</v>
      </c>
      <c r="G89" s="169">
        <v>402.25402060021378</v>
      </c>
      <c r="H89" s="169">
        <v>409.04553962387462</v>
      </c>
      <c r="J89" s="2"/>
      <c r="K89" s="3">
        <f t="shared" si="23"/>
        <v>7.6386012541515242</v>
      </c>
      <c r="L89" s="3">
        <f t="shared" si="23"/>
        <v>18.054071505586307</v>
      </c>
      <c r="M89" s="3">
        <f t="shared" si="24"/>
        <v>24.845590529247147</v>
      </c>
      <c r="N89" s="3">
        <f t="shared" si="25"/>
        <v>6.7915190236608396</v>
      </c>
      <c r="O89" s="3"/>
      <c r="R89" s="190" t="str">
        <f t="shared" si="26"/>
        <v>Exptal</v>
      </c>
      <c r="S89" s="178" t="str">
        <f t="shared" si="27"/>
        <v>Vic</v>
      </c>
      <c r="T89" s="177">
        <f t="shared" si="33"/>
        <v>9.3916550088212816</v>
      </c>
      <c r="U89" s="3">
        <f t="shared" si="28"/>
        <v>593.10809764376495</v>
      </c>
      <c r="V89" s="3">
        <f t="shared" si="28"/>
        <v>595.11631178373818</v>
      </c>
      <c r="W89" s="3">
        <f t="shared" si="28"/>
        <v>599.70837810996409</v>
      </c>
      <c r="X89" s="3">
        <f t="shared" si="28"/>
        <v>601.38264936681924</v>
      </c>
      <c r="Y89" s="3"/>
      <c r="Z89" s="3"/>
      <c r="AA89" s="3">
        <f t="shared" si="29"/>
        <v>2.0082141399732336</v>
      </c>
      <c r="AB89" s="3">
        <f t="shared" si="29"/>
        <v>4.592066326225904</v>
      </c>
      <c r="AC89" s="3">
        <f t="shared" si="30"/>
        <v>6.2663375830810537</v>
      </c>
      <c r="AD89" s="3">
        <f t="shared" si="31"/>
        <v>1.6742712568551497</v>
      </c>
      <c r="AE89" s="3"/>
    </row>
    <row r="90" spans="2:31" x14ac:dyDescent="0.25">
      <c r="B90" s="190" t="str">
        <f t="shared" si="32"/>
        <v>Exptal</v>
      </c>
      <c r="C90" s="178" t="s">
        <v>99</v>
      </c>
      <c r="D90" s="169">
        <v>11.545166159440665</v>
      </c>
      <c r="E90" s="169">
        <v>424.43528957582305</v>
      </c>
      <c r="F90" s="169">
        <v>416.84302027539798</v>
      </c>
      <c r="G90" s="169">
        <v>420.17197691541708</v>
      </c>
      <c r="H90" s="169">
        <v>436.28046838391663</v>
      </c>
      <c r="J90" s="2"/>
      <c r="K90" s="3">
        <f t="shared" si="23"/>
        <v>-7.5922693004250732</v>
      </c>
      <c r="L90" s="3">
        <f t="shared" si="23"/>
        <v>3.3289566400191006</v>
      </c>
      <c r="M90" s="3">
        <f t="shared" si="24"/>
        <v>19.437448108518652</v>
      </c>
      <c r="N90" s="3">
        <f t="shared" si="25"/>
        <v>16.108491468499551</v>
      </c>
      <c r="O90" s="3"/>
      <c r="R90" s="190" t="str">
        <f t="shared" si="26"/>
        <v>Exptal</v>
      </c>
      <c r="S90" s="178" t="str">
        <f t="shared" si="27"/>
        <v>Wil</v>
      </c>
      <c r="T90" s="177">
        <f t="shared" si="33"/>
        <v>11.545166159440665</v>
      </c>
      <c r="U90" s="3">
        <f t="shared" si="28"/>
        <v>605.07595549695884</v>
      </c>
      <c r="V90" s="3">
        <f t="shared" si="28"/>
        <v>603.27097007447435</v>
      </c>
      <c r="W90" s="3">
        <f t="shared" si="28"/>
        <v>604.06640963141547</v>
      </c>
      <c r="X90" s="3">
        <f t="shared" si="28"/>
        <v>607.8285312645545</v>
      </c>
      <c r="Y90" s="3"/>
      <c r="Z90" s="3"/>
      <c r="AA90" s="3">
        <f t="shared" si="29"/>
        <v>-1.8049854224844921</v>
      </c>
      <c r="AB90" s="3">
        <f t="shared" si="29"/>
        <v>0.79543955694111901</v>
      </c>
      <c r="AC90" s="3">
        <f t="shared" si="30"/>
        <v>4.5575611900801505</v>
      </c>
      <c r="AD90" s="3">
        <f t="shared" si="31"/>
        <v>3.7621216331390315</v>
      </c>
      <c r="AE90" s="3"/>
    </row>
    <row r="91" spans="2:31" x14ac:dyDescent="0.25">
      <c r="B91" s="190" t="str">
        <f t="shared" si="32"/>
        <v>Exptal</v>
      </c>
      <c r="C91" s="178" t="s">
        <v>80</v>
      </c>
      <c r="D91" s="169">
        <v>13.182162714473208</v>
      </c>
      <c r="E91" s="169">
        <v>409.41427843819912</v>
      </c>
      <c r="F91" s="169">
        <v>435.52280843120786</v>
      </c>
      <c r="G91" s="169">
        <v>446.67275763717782</v>
      </c>
      <c r="H91" s="169">
        <v>415.05112748783472</v>
      </c>
      <c r="J91" s="2"/>
      <c r="K91" s="3">
        <f t="shared" si="23"/>
        <v>26.108529993008744</v>
      </c>
      <c r="L91" s="3">
        <f t="shared" si="23"/>
        <v>11.149949205969961</v>
      </c>
      <c r="M91" s="3">
        <f t="shared" si="24"/>
        <v>-20.471680943373144</v>
      </c>
      <c r="N91" s="3">
        <f t="shared" si="25"/>
        <v>-31.621630149343105</v>
      </c>
      <c r="O91" s="3"/>
      <c r="R91" s="190" t="str">
        <f t="shared" si="26"/>
        <v>Exptal</v>
      </c>
      <c r="S91" s="178" t="str">
        <f t="shared" si="27"/>
        <v>Wynn</v>
      </c>
      <c r="T91" s="177">
        <f t="shared" si="33"/>
        <v>13.182162714473208</v>
      </c>
      <c r="U91" s="3">
        <f t="shared" si="28"/>
        <v>601.4727549116817</v>
      </c>
      <c r="V91" s="3">
        <f t="shared" si="28"/>
        <v>607.65471678975075</v>
      </c>
      <c r="W91" s="3">
        <f t="shared" si="28"/>
        <v>610.18262406850158</v>
      </c>
      <c r="X91" s="3">
        <f t="shared" si="28"/>
        <v>602.84017114082201</v>
      </c>
      <c r="Y91" s="3"/>
      <c r="Z91" s="3"/>
      <c r="AA91" s="3">
        <f t="shared" si="29"/>
        <v>6.1819618780690462</v>
      </c>
      <c r="AB91" s="3">
        <f t="shared" si="29"/>
        <v>2.5279072787508312</v>
      </c>
      <c r="AC91" s="3">
        <f t="shared" si="30"/>
        <v>-4.8145456489287426</v>
      </c>
      <c r="AD91" s="3">
        <f t="shared" si="31"/>
        <v>-7.3424529276795738</v>
      </c>
      <c r="AE91" s="3"/>
    </row>
    <row r="92" spans="2:31" x14ac:dyDescent="0.25">
      <c r="B92" s="190" t="str">
        <f t="shared" si="32"/>
        <v>Exptal</v>
      </c>
      <c r="C92" s="178" t="s">
        <v>81</v>
      </c>
      <c r="D92" s="169">
        <v>10.074882480221746</v>
      </c>
      <c r="E92" s="169">
        <v>388.35583046297972</v>
      </c>
      <c r="F92" s="169">
        <v>382.83530902475297</v>
      </c>
      <c r="G92" s="169">
        <v>398.77288138976701</v>
      </c>
      <c r="H92" s="169">
        <v>403.41062972870509</v>
      </c>
      <c r="J92" s="2"/>
      <c r="K92" s="3">
        <f t="shared" si="23"/>
        <v>-5.5205214382267513</v>
      </c>
      <c r="L92" s="3">
        <f t="shared" si="23"/>
        <v>15.937572365014034</v>
      </c>
      <c r="M92" s="3">
        <f t="shared" si="24"/>
        <v>20.575320703952116</v>
      </c>
      <c r="N92" s="3">
        <f t="shared" si="25"/>
        <v>4.6377483389380814</v>
      </c>
      <c r="O92" s="3"/>
      <c r="R92" s="190" t="str">
        <f t="shared" si="26"/>
        <v>Exptal</v>
      </c>
      <c r="S92" s="178" t="str">
        <f t="shared" si="27"/>
        <v>Zane</v>
      </c>
      <c r="T92" s="177">
        <f t="shared" si="33"/>
        <v>10.074882480221746</v>
      </c>
      <c r="U92" s="3">
        <f t="shared" si="28"/>
        <v>596.19220081763626</v>
      </c>
      <c r="V92" s="3">
        <f t="shared" si="28"/>
        <v>594.76048941567024</v>
      </c>
      <c r="W92" s="3">
        <f t="shared" si="28"/>
        <v>598.8392035248379</v>
      </c>
      <c r="X92" s="3">
        <f t="shared" si="28"/>
        <v>599.99549755167868</v>
      </c>
      <c r="Y92" s="3"/>
      <c r="Z92" s="3"/>
      <c r="AA92" s="3">
        <f t="shared" si="29"/>
        <v>-1.4317114019660266</v>
      </c>
      <c r="AB92" s="3">
        <f t="shared" si="29"/>
        <v>4.0787141091676631</v>
      </c>
      <c r="AC92" s="3">
        <f t="shared" si="30"/>
        <v>5.2350081360084459</v>
      </c>
      <c r="AD92" s="3">
        <f t="shared" si="31"/>
        <v>1.1562940268407829</v>
      </c>
      <c r="AE92" s="3"/>
    </row>
    <row r="93" spans="2:31" x14ac:dyDescent="0.25">
      <c r="B93" s="43"/>
      <c r="C93" s="5" t="s">
        <v>2</v>
      </c>
      <c r="D93" s="72">
        <f>AVERAGE(D73:D92)</f>
        <v>8.9108018523230381</v>
      </c>
      <c r="E93" s="72">
        <f>AVERAGE(E73:E92)</f>
        <v>389.45913670632297</v>
      </c>
      <c r="F93" s="72">
        <f>AVERAGE(F73:F92)</f>
        <v>397.8758021121921</v>
      </c>
      <c r="G93" s="72">
        <f>AVERAGE(G73:G92)</f>
        <v>410.50745981472511</v>
      </c>
      <c r="H93" s="72">
        <f>AVERAGE(H73:H92)</f>
        <v>404.41741472444272</v>
      </c>
      <c r="I93" s="258"/>
      <c r="J93" s="259" t="s">
        <v>106</v>
      </c>
      <c r="K93" s="260">
        <f>IF(ISBLANK($K$35),AVERAGE(K73:K92),IF(ISBLANK($K$38),FORECAST($K$35,K73:K92,$D73:$D92),SLOPE(K73:K92,$D73:$D92)*$K$38))</f>
        <v>8.4166654058692671</v>
      </c>
      <c r="L93" s="260">
        <f>IF(ISBLANK($K$35),AVERAGE(L73:L92),IF(ISBLANK($K$38),FORECAST($K$35,L73:L92,$D73:$D92),SLOPE(L73:L92,$D73:$D92)*$K$38))</f>
        <v>12.631657702532873</v>
      </c>
      <c r="M93" s="260">
        <f>IF(ISBLANK($K$35),AVERAGE(M73:M92),IF(ISBLANK($K$38),FORECAST($K$35,M73:M92,$D73:$D92),SLOPE(M73:M92,$D73:$D92)*$K$38))</f>
        <v>6.5416126122504981</v>
      </c>
      <c r="N93" s="260">
        <f>IF(ISBLANK($K$35),AVERAGE(N73:N92),IF(ISBLANK($K$38),FORECAST($K$35,N73:N92,$D73:$D92),SLOPE(N73:N92,$D73:$D92)*$K$38))</f>
        <v>-6.0900450902823762</v>
      </c>
      <c r="O93" s="261" t="e">
        <f>IF(ISBLANK($K$35),AVERAGE(O73:O92),IF(ISBLANK($K$38),FORECAST($K$35,O73:O92,$D73:$D92),SLOPE(O73:O92,$D73:$D92)*$K$38))</f>
        <v>#DIV/0!</v>
      </c>
      <c r="S93" s="5" t="s">
        <v>2</v>
      </c>
      <c r="T93" s="72">
        <f>AVERAGE(T73:T92)</f>
        <v>8.9108018523230381</v>
      </c>
      <c r="U93" s="6">
        <f>AVERAGE(U73:U92)</f>
        <v>596.33774809739589</v>
      </c>
      <c r="V93" s="6">
        <f>AVERAGE(V73:V92)</f>
        <v>598.45776777638196</v>
      </c>
      <c r="W93" s="6">
        <f>AVERAGE(W73:W92)</f>
        <v>601.53206119114282</v>
      </c>
      <c r="X93" s="6">
        <f>AVERAGE(X73:X92)</f>
        <v>600.08963384570211</v>
      </c>
      <c r="Y93" s="6"/>
      <c r="Z93" s="5" t="s">
        <v>106</v>
      </c>
      <c r="AA93" s="252">
        <f>IF(ISBLANK($AA$35),AVERAGE(AA73:AA92),IF(ISBLANK($AA$38),FORECAST($AA$35,AA73:AA92,$T73:$T92),SLOPE(AA73:AA92,$T73:$T92)*$AA$38))</f>
        <v>2.1200196789860173</v>
      </c>
      <c r="AB93" s="347">
        <f>IF(ISBLANK($AA$35),AVERAGE(AB73:AB92),IF(ISBLANK($AA$38),FORECAST($AA$35,AB73:AB92,$T73:$T92),SLOPE(AB73:AB92,$T73:$T92)*$AA$38))</f>
        <v>3.0742934147609047</v>
      </c>
      <c r="AC93" s="252">
        <f>IF(ISBLANK($AA$35),AVERAGE(AC73:AC92),IF(ISBLANK($AA$38),FORECAST($AA$35,AC73:AC92,$T73:$T92),SLOPE(AC73:AC92,$T73:$T92)*$AA$38))</f>
        <v>1.631866069320131</v>
      </c>
      <c r="AD93" s="252">
        <f>IF(ISBLANK($AA$35),AVERAGE(AD73:AD92),IF(ISBLANK($AA$38),FORECAST($AA$35,AD73:AD92,$T73:$T92),SLOPE(AD73:AD92,$T73:$T92)*$AA$38))</f>
        <v>-1.4424273454407739</v>
      </c>
      <c r="AE93" s="252" t="e">
        <f>IF(ISBLANK($AA$35),AVERAGE(AE73:AE92),IF(ISBLANK($AA$38),FORECAST($AA$35,AE73:AE92,$T73:$T92),SLOPE(AE73:AE92,$T73:$T92)*$AA$38))</f>
        <v>#DIV/0!</v>
      </c>
    </row>
    <row r="94" spans="2:31" x14ac:dyDescent="0.25">
      <c r="B94" s="43"/>
      <c r="C94" s="5" t="s">
        <v>3</v>
      </c>
      <c r="D94" s="72">
        <f>STDEV(D73:D92)</f>
        <v>2.9846732460089527</v>
      </c>
      <c r="E94" s="72">
        <f>STDEV(E73:E92)</f>
        <v>20.721381402404134</v>
      </c>
      <c r="F94" s="72">
        <f>STDEV(F73:F92)</f>
        <v>22.441585417311746</v>
      </c>
      <c r="G94" s="72">
        <f>STDEV(G73:G92)</f>
        <v>26.869218273256372</v>
      </c>
      <c r="H94" s="72">
        <f>STDEV(H73:H92)</f>
        <v>23.215835517433177</v>
      </c>
      <c r="I94" s="262"/>
      <c r="J94" s="263" t="s">
        <v>107</v>
      </c>
      <c r="K94" s="264">
        <f>IF(ISBLANK($K$35),STDEV(K73:K92),STEYX(K73:K92,$D73:$D92))</f>
        <v>13.99616688030272</v>
      </c>
      <c r="L94" s="264">
        <f>IF(ISBLANK($K$35),STDEV(L73:L92),STEYX(L73:L92,$D73:$D92))</f>
        <v>15.19730217957931</v>
      </c>
      <c r="M94" s="264">
        <f>IF(ISBLANK($K$35),STDEV(M73:M92),STEYX(M73:M92,$D73:$D92))</f>
        <v>18.100359072951868</v>
      </c>
      <c r="N94" s="264">
        <f>IF(ISBLANK($K$35),STDEV(N73:N92),STEYX(N73:N92,$D73:$D92))</f>
        <v>17.215956403224425</v>
      </c>
      <c r="O94" s="265" t="e">
        <f>IF(ISBLANK($K$35),STDEV(O73:O92),STEYX(O73:O92,$D73:$D92))</f>
        <v>#DIV/0!</v>
      </c>
      <c r="S94" s="5" t="s">
        <v>3</v>
      </c>
      <c r="T94" s="72">
        <f>STDEV(T73:T92)</f>
        <v>2.9846732460089527</v>
      </c>
      <c r="U94" s="6">
        <f>STDEV(U73:U92)</f>
        <v>5.432003634357315</v>
      </c>
      <c r="V94" s="6">
        <f>STDEV(V73:V92)</f>
        <v>5.7861729652178289</v>
      </c>
      <c r="W94" s="6">
        <f>STDEV(W73:W92)</f>
        <v>6.6431961337535324</v>
      </c>
      <c r="X94" s="6">
        <f>STDEV(X73:X92)</f>
        <v>5.7032278431025514</v>
      </c>
      <c r="Y94" s="6"/>
      <c r="Z94" s="5" t="s">
        <v>107</v>
      </c>
      <c r="AA94" s="252">
        <f>IF(ISBLANK($AA$35),STDEV(AA73:AA92),STEYX(AA73:AA92,$T73:$T92))</f>
        <v>3.5357717542611433</v>
      </c>
      <c r="AB94" s="252">
        <f>IF(ISBLANK($AA$35),STDEV(AB73:AB92),STEYX(AB73:AB92,$T73:$T92))</f>
        <v>3.6854607868583225</v>
      </c>
      <c r="AC94" s="252">
        <f>IF(ISBLANK($AA$35),STDEV(AC73:AC92),STEYX(AC73:AC92,$T73:$T92))</f>
        <v>4.5317383944158482</v>
      </c>
      <c r="AD94" s="252">
        <f>IF(ISBLANK($AA$35),STDEV(AD73:AD92),STEYX(AD73:AD92,$T73:$T92))</f>
        <v>4.2522183511067144</v>
      </c>
      <c r="AE94" s="252" t="e">
        <f>IF(ISBLANK($AA$35),STDEV(AE73:AE92),STEYX(AE73:AE92,$T73:$T92))</f>
        <v>#DIV/0!</v>
      </c>
    </row>
    <row r="95" spans="2:31" x14ac:dyDescent="0.25">
      <c r="B95" s="43"/>
      <c r="C95" s="5" t="s">
        <v>62</v>
      </c>
      <c r="D95" s="6">
        <f>D94/SQRT(D97)</f>
        <v>0.66739322687009706</v>
      </c>
      <c r="E95" s="6">
        <f>E94/SQRT(E97)</f>
        <v>4.633441740347557</v>
      </c>
      <c r="F95" s="6">
        <f>F94/SQRT(F97)</f>
        <v>5.0180910515977049</v>
      </c>
      <c r="G95" s="4"/>
      <c r="H95" s="4"/>
      <c r="I95" s="4"/>
      <c r="J95" s="5" t="s">
        <v>108</v>
      </c>
      <c r="K95" s="4">
        <f>IF(ISBLANK($K$35),K94/SQRT(COUNT(K73:K92)),IF(ISBLANK($K$38),K94*SQRT(1/COUNT(K73:K92)+1/(COUNT(K73:K92)-1)*($K$35-$D93)^2/$D94^2),$K$38*STEYX(K73:K92,$D73:$D92)/(SQRT(COUNT(K73:K92)-1))/$D94))</f>
        <v>3.1296380568788043</v>
      </c>
      <c r="L95" s="4">
        <f>IF(ISBLANK($K$35),L94/SQRT(COUNT(L73:L92)),IF(ISBLANK($K$38),L94*SQRT(1/COUNT(L73:L92)+1/(COUNT(L73:L92)-1)*($K$35-$D93)^2/$D94^2),$K$38*STEYX(L73:L92,$D73:$D92)/(SQRT(COUNT(L73:L92)-1))/$D94))</f>
        <v>3.3982200748145051</v>
      </c>
      <c r="M95" s="4">
        <f>IF(ISBLANK($K$35),M94/SQRT(COUNT(M73:M92)),IF(ISBLANK($K$38),M94*SQRT(1/COUNT(M73:M92)+1/(COUNT(M73:M92)-1)*($K$35-$D93)^2/$D94^2),$K$38*STEYX(M73:M92,$D73:$D92)/(SQRT(COUNT(M73:M92)-1))/$D94))</f>
        <v>4.0473633304275447</v>
      </c>
      <c r="N95" s="4">
        <f>IF(ISBLANK($K$35),N94/SQRT(COUNT(N73:N92)),IF(ISBLANK($K$38),N94*SQRT(1/COUNT(N73:N92)+1/(COUNT(N73:N92)-1)*($K$35-$D93)^2/$D94^2),$K$38*STEYX(N73:N92,$D73:$D92)/(SQRT(COUNT(N73:N92)-1))/$D94))</f>
        <v>3.8496048815282591</v>
      </c>
      <c r="O95" s="4" t="e">
        <f>IF(ISBLANK($K$35),O94/SQRT(COUNT(O73:O92)),IF(ISBLANK($K$38),O94*SQRT(1/COUNT(O73:O92)+1/(COUNT(O73:O92)-1)*($K$35-$D93)^2/$D94^2),$K$38*STEYX(O73:O92,$D73:$D92)/(SQRT(COUNT(O73:O92)-1))/$D94))</f>
        <v>#DIV/0!</v>
      </c>
      <c r="S95" s="5" t="s">
        <v>62</v>
      </c>
      <c r="T95" s="6">
        <f>T94/SQRT(COUNT(T73:T92))</f>
        <v>0.66739322687009706</v>
      </c>
      <c r="U95" s="6">
        <f>U94/SQRT(COUNT(U73:U92))</f>
        <v>1.2146329380448868</v>
      </c>
      <c r="V95" s="6">
        <f>V94/SQRT(COUNT(V73:V92))</f>
        <v>1.2938276079798592</v>
      </c>
      <c r="W95" s="6"/>
      <c r="X95" s="6"/>
      <c r="Y95" s="6"/>
      <c r="Z95" s="5" t="s">
        <v>108</v>
      </c>
      <c r="AA95" s="4">
        <f>IF(ISBLANK($AA$35),AA94/SQRT(COUNT(AA73:AA92)),IF(ISBLANK($AA$38),AA94*SQRT(1/COUNT(AA73:AA92)+1/(COUNT(AA73:AA92)-1)*($AA$35-$T93)^2/$T94^2),$AA$38*STEYX(AA73:AA92,$T73:$T92)/(SQRT(COUNT(AA73:AA92)-1))/$T94))</f>
        <v>0.79062259954515979</v>
      </c>
      <c r="AB95" s="348">
        <f>IF(ISBLANK($AA$35),AB94/SQRT(COUNT(AB73:AB92)),IF(ISBLANK($AA$38),AB94*SQRT(1/COUNT(AB73:AB92)+1/(COUNT(AB73:AB92)-1)*($AA$35-$T93)^2/$T94^2),$AA$38*STEYX(AB73:AB92,$T73:$T92)/(SQRT(COUNT(AB73:AB92)-1))/$T94))</f>
        <v>0.82409408478250723</v>
      </c>
      <c r="AC95" s="4">
        <f>IF(ISBLANK($AA$35),AC94/SQRT(COUNT(AC73:AC92)),IF(ISBLANK($AA$38),AC94*SQRT(1/COUNT(AC73:AC92)+1/(COUNT(AC73:AC92)-1)*($AA$35-$T93)^2/$T94^2),$AA$38*STEYX(AC73:AC92,$T73:$T92)/(SQRT(COUNT(AC73:AC92)-1))/$T94))</f>
        <v>1.0133275106159589</v>
      </c>
      <c r="AD95" s="4">
        <f>IF(ISBLANK($AA$35),AD94/SQRT(COUNT(AD73:AD92)),IF(ISBLANK($AA$38),AD94*SQRT(1/COUNT(AD73:AD92)+1/(COUNT(AD73:AD92)-1)*($AA$35-$T93)^2/$T94^2),$AA$38*STEYX(AD73:AD92,$T73:$T92)/(SQRT(COUNT(AD73:AD92)-1))/$T94))</f>
        <v>0.95082492882466807</v>
      </c>
      <c r="AE95" s="4" t="e">
        <f>IF(ISBLANK($AA$35),AE94/SQRT(COUNT(AE73:AE92)),IF(ISBLANK($AA$38),AE94*SQRT(1/COUNT(AE73:AE92)+1/(COUNT(AE73:AE92)-1)*($AA$35-$T93)^2/$T94^2),$AA$38*STEYX(AE73:AE92,$T73:$T92)/(SQRT(COUNT(AE73:AE92)-1))/$T94))</f>
        <v>#DIV/0!</v>
      </c>
    </row>
    <row r="96" spans="2:31" x14ac:dyDescent="0.25">
      <c r="B96" s="43"/>
      <c r="C96" s="5" t="s">
        <v>67</v>
      </c>
      <c r="D96" s="97">
        <f>D97-1</f>
        <v>19</v>
      </c>
      <c r="E96" s="97">
        <f>E97-1</f>
        <v>19</v>
      </c>
      <c r="F96" s="97">
        <f>F97-1</f>
        <v>19</v>
      </c>
      <c r="G96" s="4"/>
      <c r="H96" s="4"/>
      <c r="I96" s="4"/>
      <c r="J96" s="5" t="s">
        <v>67</v>
      </c>
      <c r="K96" s="97">
        <f>IF(ISBLANK($K$35),COUNT(K73:K92)-1,COUNT(K73:K92)-2)</f>
        <v>19</v>
      </c>
      <c r="L96" s="97">
        <f>IF(ISBLANK($K$35),COUNT(L73:L92)-1,COUNT(L73:L92)-2)</f>
        <v>19</v>
      </c>
      <c r="M96" s="97">
        <f>IF(ISBLANK($K$35),COUNT(M73:M92)-1,COUNT(M73:M92)-2)</f>
        <v>19</v>
      </c>
      <c r="N96" s="97">
        <f>IF(ISBLANK($K$35),COUNT(N73:N92)-1,COUNT(N73:N92)-2)</f>
        <v>19</v>
      </c>
      <c r="O96" s="97">
        <f>IF(ISBLANK($K$35),COUNT(O73:O92)-1,COUNT(O73:O92)-2)</f>
        <v>-1</v>
      </c>
      <c r="S96" s="5" t="s">
        <v>67</v>
      </c>
      <c r="T96" s="97">
        <f>COUNT(T73:T92)-1</f>
        <v>19</v>
      </c>
      <c r="U96" s="97">
        <f>COUNT(U73:U92)-1</f>
        <v>19</v>
      </c>
      <c r="V96" s="97">
        <f>COUNT(V73:V92)-1</f>
        <v>19</v>
      </c>
      <c r="W96" s="97"/>
      <c r="X96" s="97"/>
      <c r="Y96" s="6"/>
      <c r="Z96" s="5" t="s">
        <v>67</v>
      </c>
      <c r="AA96" s="97">
        <f>IF(ISBLANK($AA$35),COUNT(AA73:AA92)-1,COUNT(AA73:AA92)-2)</f>
        <v>19</v>
      </c>
      <c r="AB96" s="97">
        <f>IF(ISBLANK($AA$35),COUNT(AB73:AB92)-1,COUNT(AB73:AB92)-2)</f>
        <v>19</v>
      </c>
      <c r="AC96" s="97">
        <f>IF(ISBLANK($AA$35),COUNT(AC73:AC92)-1,COUNT(AC73:AC92)-2)</f>
        <v>19</v>
      </c>
      <c r="AD96" s="97">
        <f>IF(ISBLANK($AA$35),COUNT(AD73:AD92)-1,COUNT(AD73:AD92)-2)</f>
        <v>19</v>
      </c>
      <c r="AE96" s="97">
        <f>IF(ISBLANK($AA$35),COUNT(AE73:AE92)-1,COUNT(AE73:AE92)-2)</f>
        <v>-1</v>
      </c>
    </row>
    <row r="97" spans="2:31" x14ac:dyDescent="0.25">
      <c r="B97" s="43"/>
      <c r="C97" s="5" t="s">
        <v>46</v>
      </c>
      <c r="D97" s="275">
        <f>COUNT(D73:D92)</f>
        <v>20</v>
      </c>
      <c r="E97" s="275">
        <f>COUNT(E73:E92)</f>
        <v>20</v>
      </c>
      <c r="F97" s="275">
        <f>COUNT(F73:F92)</f>
        <v>20</v>
      </c>
      <c r="G97" s="275">
        <f>COUNT(G73:G92)</f>
        <v>20</v>
      </c>
      <c r="H97" s="275">
        <f>COUNT(H73:H92)</f>
        <v>20</v>
      </c>
      <c r="I97" s="258"/>
      <c r="J97" s="259" t="s">
        <v>154</v>
      </c>
      <c r="K97" s="260">
        <f t="shared" ref="K97:O98" si="34">K93/$E$115</f>
        <v>0.37393740167992584</v>
      </c>
      <c r="L97" s="260">
        <f t="shared" si="34"/>
        <v>0.5612019763672107</v>
      </c>
      <c r="M97" s="260">
        <f t="shared" si="34"/>
        <v>0.29063215716235857</v>
      </c>
      <c r="N97" s="260">
        <f t="shared" si="34"/>
        <v>-0.27056981920485212</v>
      </c>
      <c r="O97" s="261" t="e">
        <f t="shared" si="34"/>
        <v>#DIV/0!</v>
      </c>
      <c r="S97" s="5" t="s">
        <v>46</v>
      </c>
      <c r="T97" s="275">
        <f>COUNT(T73:T92)</f>
        <v>20</v>
      </c>
      <c r="U97" s="275">
        <f>COUNT(U73:U92)</f>
        <v>20</v>
      </c>
      <c r="V97" s="275">
        <f>COUNT(V73:V92)</f>
        <v>20</v>
      </c>
      <c r="W97" s="275">
        <f>COUNT(W73:W92)</f>
        <v>20</v>
      </c>
      <c r="X97" s="275">
        <f>COUNT(X73:X92)</f>
        <v>20</v>
      </c>
      <c r="Y97" s="266"/>
      <c r="Z97" s="267" t="s">
        <v>109</v>
      </c>
      <c r="AA97" s="268">
        <f t="shared" ref="AA97:AE98" si="35">100*EXP(AA93/100)-100</f>
        <v>2.1426517480020522</v>
      </c>
      <c r="AB97" s="268">
        <f t="shared" si="35"/>
        <v>3.1220378265069115</v>
      </c>
      <c r="AC97" s="268">
        <f t="shared" si="35"/>
        <v>1.6452537274058017</v>
      </c>
      <c r="AD97" s="268">
        <f t="shared" si="35"/>
        <v>-1.4320742008470404</v>
      </c>
      <c r="AE97" s="269" t="e">
        <f t="shared" si="35"/>
        <v>#DIV/0!</v>
      </c>
    </row>
    <row r="98" spans="2:31" x14ac:dyDescent="0.25">
      <c r="B98" s="43"/>
      <c r="C98" s="5"/>
      <c r="D98" s="5"/>
      <c r="E98" s="4"/>
      <c r="F98" s="4"/>
      <c r="G98" s="4"/>
      <c r="H98" s="4"/>
      <c r="I98" s="262"/>
      <c r="J98" s="263" t="s">
        <v>155</v>
      </c>
      <c r="K98" s="264">
        <f t="shared" si="34"/>
        <v>0.62182468047849182</v>
      </c>
      <c r="L98" s="264">
        <f t="shared" si="34"/>
        <v>0.67518897515085918</v>
      </c>
      <c r="M98" s="264">
        <f t="shared" si="34"/>
        <v>0.80416660456686606</v>
      </c>
      <c r="N98" s="264">
        <f t="shared" si="34"/>
        <v>0.76487417455936546</v>
      </c>
      <c r="O98" s="265" t="e">
        <f t="shared" si="34"/>
        <v>#DIV/0!</v>
      </c>
      <c r="S98" s="5" t="s">
        <v>6</v>
      </c>
      <c r="T98" s="5"/>
      <c r="U98" s="73">
        <f>EXP(U93/100)</f>
        <v>388.92148335634965</v>
      </c>
      <c r="V98" s="73">
        <f>EXP(V93/100)</f>
        <v>397.25471631784046</v>
      </c>
      <c r="W98" s="73">
        <f>EXP(W93/100)</f>
        <v>409.65715882886582</v>
      </c>
      <c r="X98" s="73">
        <f>EXP(X93/100)</f>
        <v>403.79056434535511</v>
      </c>
      <c r="Y98" s="270"/>
      <c r="Z98" s="263" t="s">
        <v>111</v>
      </c>
      <c r="AA98" s="271">
        <f t="shared" si="35"/>
        <v>3.599023440473843</v>
      </c>
      <c r="AB98" s="271">
        <f t="shared" si="35"/>
        <v>3.7542159405399502</v>
      </c>
      <c r="AC98" s="271">
        <f t="shared" si="35"/>
        <v>4.6359905046705023</v>
      </c>
      <c r="AD98" s="271">
        <f t="shared" si="35"/>
        <v>4.3439203262050938</v>
      </c>
      <c r="AE98" s="272" t="e">
        <f t="shared" si="35"/>
        <v>#DIV/0!</v>
      </c>
    </row>
    <row r="99" spans="2:31" x14ac:dyDescent="0.25">
      <c r="B99" s="43"/>
      <c r="C99" s="5"/>
      <c r="D99" s="5"/>
      <c r="E99" s="4"/>
      <c r="F99" s="4"/>
      <c r="G99" s="4"/>
      <c r="H99" s="4"/>
      <c r="I99" s="4"/>
      <c r="J99" s="4"/>
      <c r="K99" s="4"/>
      <c r="L99" s="4"/>
      <c r="M99" s="4"/>
      <c r="N99" s="4"/>
      <c r="O99" s="4"/>
      <c r="S99" s="5" t="s">
        <v>7</v>
      </c>
      <c r="T99" s="5"/>
      <c r="U99" s="73">
        <f>100*EXP(U94/100)-100</f>
        <v>5.5822449646705934</v>
      </c>
      <c r="V99" s="73">
        <f>100*EXP(V94/100)-100</f>
        <v>5.9568478678952772</v>
      </c>
      <c r="W99" s="73">
        <f>100*EXP(W94/100)-100</f>
        <v>6.8688249482413255</v>
      </c>
      <c r="X99" s="73">
        <f>100*EXP(X94/100)-100</f>
        <v>5.8689982695566982</v>
      </c>
      <c r="Y99" s="258"/>
      <c r="Z99" s="259" t="s">
        <v>110</v>
      </c>
      <c r="AA99" s="273">
        <f t="shared" ref="AA99:AE100" si="36">EXP(AA93/100)</f>
        <v>1.0214265174800206</v>
      </c>
      <c r="AB99" s="273">
        <f t="shared" si="36"/>
        <v>1.0312203782650691</v>
      </c>
      <c r="AC99" s="273">
        <f t="shared" si="36"/>
        <v>1.016452537274058</v>
      </c>
      <c r="AD99" s="273">
        <f t="shared" si="36"/>
        <v>0.98567925799152967</v>
      </c>
      <c r="AE99" s="274" t="e">
        <f t="shared" si="36"/>
        <v>#DIV/0!</v>
      </c>
    </row>
    <row r="100" spans="2:31" x14ac:dyDescent="0.25">
      <c r="B100" s="43"/>
      <c r="C100" s="5"/>
      <c r="D100" s="5"/>
      <c r="E100" s="4"/>
      <c r="F100" s="4"/>
      <c r="G100" s="4"/>
      <c r="H100" s="4"/>
      <c r="I100" s="4"/>
      <c r="J100" s="4"/>
      <c r="K100" s="4"/>
      <c r="L100" s="4"/>
      <c r="M100" s="4"/>
      <c r="N100" s="4"/>
      <c r="O100" s="4"/>
      <c r="S100" s="5" t="s">
        <v>8</v>
      </c>
      <c r="T100" s="5"/>
      <c r="U100" s="72">
        <f>EXP(U94/100)</f>
        <v>1.0558224496467059</v>
      </c>
      <c r="V100" s="72">
        <f>EXP(V94/100)</f>
        <v>1.0595684786789528</v>
      </c>
      <c r="W100" s="72">
        <f>EXP(W94/100)</f>
        <v>1.0686882494824133</v>
      </c>
      <c r="X100" s="72">
        <f>EXP(X94/100)</f>
        <v>1.0586899826955669</v>
      </c>
      <c r="Y100" s="262"/>
      <c r="Z100" s="263" t="s">
        <v>112</v>
      </c>
      <c r="AA100" s="264">
        <f t="shared" si="36"/>
        <v>1.0359902344047385</v>
      </c>
      <c r="AB100" s="264">
        <f t="shared" si="36"/>
        <v>1.0375421594053995</v>
      </c>
      <c r="AC100" s="264">
        <f t="shared" si="36"/>
        <v>1.046359905046705</v>
      </c>
      <c r="AD100" s="264">
        <f t="shared" si="36"/>
        <v>1.043439203262051</v>
      </c>
      <c r="AE100" s="265" t="e">
        <f t="shared" si="36"/>
        <v>#DIV/0!</v>
      </c>
    </row>
    <row r="101" spans="2:31" x14ac:dyDescent="0.25">
      <c r="B101" s="43"/>
      <c r="C101" s="5"/>
      <c r="D101" s="5"/>
      <c r="E101" s="4"/>
      <c r="F101" s="4"/>
      <c r="G101" s="4"/>
      <c r="H101" s="4"/>
      <c r="I101" s="4"/>
      <c r="J101" s="4"/>
      <c r="K101" s="4"/>
      <c r="L101" s="4"/>
      <c r="M101" s="4"/>
      <c r="N101" s="4"/>
      <c r="O101" s="4"/>
      <c r="S101" s="5"/>
      <c r="T101" s="5"/>
      <c r="U101" s="72"/>
      <c r="V101" s="72"/>
      <c r="W101" s="4"/>
      <c r="X101" s="4"/>
      <c r="Y101" s="258"/>
      <c r="Z101" s="259" t="s">
        <v>154</v>
      </c>
      <c r="AA101" s="260">
        <f t="shared" ref="AA101:AE102" si="37">AA93/$U$115</f>
        <v>0.37099536171252362</v>
      </c>
      <c r="AB101" s="260">
        <f t="shared" si="37"/>
        <v>0.53798962751381785</v>
      </c>
      <c r="AC101" s="260">
        <f t="shared" si="37"/>
        <v>0.28557034099956069</v>
      </c>
      <c r="AD101" s="260">
        <f t="shared" si="37"/>
        <v>-0.25241928651425727</v>
      </c>
      <c r="AE101" s="261" t="e">
        <f t="shared" si="37"/>
        <v>#DIV/0!</v>
      </c>
    </row>
    <row r="102" spans="2:31" x14ac:dyDescent="0.25">
      <c r="B102" s="43"/>
      <c r="C102" s="5"/>
      <c r="D102" s="5"/>
      <c r="E102" s="4"/>
      <c r="F102" s="4"/>
      <c r="G102" s="4"/>
      <c r="H102" s="4"/>
      <c r="I102" s="4"/>
      <c r="J102" s="4"/>
      <c r="K102" s="4"/>
      <c r="L102" s="4"/>
      <c r="M102" s="4"/>
      <c r="N102" s="4"/>
      <c r="O102" s="4"/>
      <c r="S102" s="5"/>
      <c r="T102" s="5"/>
      <c r="U102" s="72"/>
      <c r="V102" s="72"/>
      <c r="W102" s="4"/>
      <c r="X102" s="4"/>
      <c r="Y102" s="262"/>
      <c r="Z102" s="263" t="s">
        <v>155</v>
      </c>
      <c r="AA102" s="264">
        <f t="shared" si="37"/>
        <v>0.61874657764140917</v>
      </c>
      <c r="AB102" s="264">
        <f t="shared" si="37"/>
        <v>0.64494158768931087</v>
      </c>
      <c r="AC102" s="264">
        <f t="shared" si="37"/>
        <v>0.79303694276411829</v>
      </c>
      <c r="AD102" s="264">
        <f t="shared" si="37"/>
        <v>0.74412200079387614</v>
      </c>
      <c r="AE102" s="265" t="e">
        <f t="shared" si="37"/>
        <v>#DIV/0!</v>
      </c>
    </row>
    <row r="103" spans="2:31" s="10" customFormat="1" x14ac:dyDescent="0.25">
      <c r="B103" s="198"/>
      <c r="C103" s="199" t="s">
        <v>102</v>
      </c>
      <c r="D103" s="199"/>
      <c r="E103" s="200"/>
      <c r="F103" s="200"/>
      <c r="G103" s="9"/>
      <c r="H103" s="9"/>
      <c r="I103" s="9"/>
      <c r="K103" s="9"/>
      <c r="L103" s="9"/>
      <c r="M103" s="9"/>
      <c r="N103" s="9"/>
      <c r="O103" s="9"/>
      <c r="R103" s="200"/>
      <c r="S103" s="199" t="s">
        <v>102</v>
      </c>
      <c r="T103" s="199"/>
      <c r="U103" s="206"/>
      <c r="V103" s="206"/>
      <c r="W103" s="9"/>
      <c r="Z103" s="100"/>
      <c r="AB103" s="74"/>
      <c r="AC103" s="74"/>
      <c r="AD103" s="74"/>
      <c r="AE103" s="74"/>
    </row>
    <row r="104" spans="2:31" s="10" customFormat="1" x14ac:dyDescent="0.25">
      <c r="B104" s="198"/>
      <c r="C104" s="201" t="s">
        <v>2</v>
      </c>
      <c r="D104" s="202">
        <f>AVERAGE(D42:D61,D73:D92)</f>
        <v>9.1534738309100874</v>
      </c>
      <c r="E104" s="202">
        <f>AVERAGE(E42:E61,E73:E92)</f>
        <v>396.60113831809247</v>
      </c>
      <c r="F104" s="202">
        <f>AVERAGE(F42:F61,F73:F92)</f>
        <v>401.92473091731301</v>
      </c>
      <c r="G104" s="9"/>
      <c r="H104" s="9"/>
      <c r="I104" s="9"/>
      <c r="J104" s="7"/>
      <c r="K104" s="103"/>
      <c r="L104" s="103"/>
      <c r="M104" s="103"/>
      <c r="N104" s="103"/>
      <c r="O104" s="103"/>
      <c r="R104" s="200"/>
      <c r="S104" s="201" t="s">
        <v>2</v>
      </c>
      <c r="T104" s="202">
        <f>AVERAGE(T42:T61,T73:T92)</f>
        <v>9.1534738309100874</v>
      </c>
      <c r="U104" s="225">
        <f>AVERAGE(U42:U61,U73:U92)</f>
        <v>598.13756576178787</v>
      </c>
      <c r="V104" s="225">
        <f>AVERAGE(V42:V61,V73:V92)</f>
        <v>599.47876850645423</v>
      </c>
      <c r="W104" s="9"/>
      <c r="Z104" s="7"/>
      <c r="AA104" s="101"/>
      <c r="AB104" s="101"/>
      <c r="AC104" s="101"/>
      <c r="AD104" s="101"/>
      <c r="AE104" s="101"/>
    </row>
    <row r="105" spans="2:31" s="10" customFormat="1" x14ac:dyDescent="0.25">
      <c r="B105" s="200"/>
      <c r="C105" s="201" t="s">
        <v>3</v>
      </c>
      <c r="D105" s="202">
        <f>STDEV(D42:D61,D73:D92)</f>
        <v>3.3054070053958764</v>
      </c>
      <c r="E105" s="202">
        <f>STDEV(E42:E61,E73:E92)</f>
        <v>22.257740408128811</v>
      </c>
      <c r="F105" s="202">
        <f>STDEV(F42:F61,F73:F92)</f>
        <v>21.885847696103294</v>
      </c>
      <c r="G105" s="9"/>
      <c r="H105" s="9"/>
      <c r="I105" s="173"/>
      <c r="J105" s="174" t="str">
        <f>CONCATENATE("For plotting chosen ",$D$41,":")</f>
        <v>For plotting chosen X:</v>
      </c>
      <c r="K105" s="175"/>
      <c r="L105" s="175"/>
      <c r="M105" s="175"/>
      <c r="N105" s="175"/>
      <c r="O105" s="103"/>
      <c r="R105" s="200"/>
      <c r="S105" s="201" t="s">
        <v>3</v>
      </c>
      <c r="T105" s="202">
        <f>STDEV(T42:T61,T73:T92)</f>
        <v>3.3054070053958764</v>
      </c>
      <c r="U105" s="225">
        <f>STDEV(U42:U61,U73:U92)</f>
        <v>5.6694552927675499</v>
      </c>
      <c r="V105" s="225">
        <f>STDEV(V42:V61,V73:V92)</f>
        <v>5.5373839348891387</v>
      </c>
      <c r="W105" s="9"/>
      <c r="Z105" s="174" t="str">
        <f>CONCATENATE("For plotting chosen ",$D$41,":")</f>
        <v>For plotting chosen X:</v>
      </c>
      <c r="AA105" s="175"/>
      <c r="AB105" s="175"/>
      <c r="AC105" s="175"/>
      <c r="AD105" s="175"/>
      <c r="AE105" s="102"/>
    </row>
    <row r="106" spans="2:31" s="10" customFormat="1" x14ac:dyDescent="0.25">
      <c r="B106" s="200"/>
      <c r="C106" s="203" t="s">
        <v>46</v>
      </c>
      <c r="D106" s="204">
        <f>D66+D97</f>
        <v>40</v>
      </c>
      <c r="E106" s="204">
        <f>E66+E97</f>
        <v>40</v>
      </c>
      <c r="F106" s="204">
        <f>F66+F97</f>
        <v>40</v>
      </c>
      <c r="G106" s="9"/>
      <c r="H106" s="9"/>
      <c r="I106" s="174"/>
      <c r="J106" s="176" t="s">
        <v>100</v>
      </c>
      <c r="K106" s="175">
        <f>MAX(K42:K61,K73:K92)</f>
        <v>41.30574051001895</v>
      </c>
      <c r="L106" s="175">
        <f>MAX(L42:L61,L73:L92)</f>
        <v>41.36350730757141</v>
      </c>
      <c r="M106" s="175">
        <f>MAX(M42:M61,M73:M92)</f>
        <v>40.362694380908124</v>
      </c>
      <c r="N106" s="175">
        <f>MAX(N42:N61,N73:N92)</f>
        <v>19.550948820637871</v>
      </c>
      <c r="O106" s="175">
        <f>MAX(O42:O61,O73:O92)</f>
        <v>0</v>
      </c>
      <c r="R106" s="200"/>
      <c r="S106" s="203" t="s">
        <v>46</v>
      </c>
      <c r="T106" s="204">
        <f>T66+T97</f>
        <v>40</v>
      </c>
      <c r="U106" s="204">
        <f>U66+U97</f>
        <v>40</v>
      </c>
      <c r="V106" s="204">
        <f>V66+V97</f>
        <v>40</v>
      </c>
      <c r="W106" s="9"/>
      <c r="Z106" s="176" t="s">
        <v>100</v>
      </c>
      <c r="AA106" s="175">
        <f>MAX(AA42:AA61,AA73:AA92)</f>
        <v>10.457124547068361</v>
      </c>
      <c r="AB106" s="175">
        <f>MAX(AB42:AB61,AB73:AB92)</f>
        <v>9.8787545708050857</v>
      </c>
      <c r="AC106" s="175">
        <f>MAX(AC42:AC61,AC73:AC92)</f>
        <v>9.650900092576876</v>
      </c>
      <c r="AD106" s="175">
        <f>MAX(AD42:AD61,AD73:AD92)</f>
        <v>5.5461408156737662</v>
      </c>
      <c r="AE106" s="175">
        <f>MAX(AE42:AE61,AE73:AE92)</f>
        <v>0</v>
      </c>
    </row>
    <row r="107" spans="2:31" s="10" customFormat="1" x14ac:dyDescent="0.25">
      <c r="B107" s="200"/>
      <c r="C107" s="200"/>
      <c r="D107" s="200"/>
      <c r="E107" s="200"/>
      <c r="F107" s="200"/>
      <c r="G107" s="9"/>
      <c r="H107" s="9"/>
      <c r="I107" s="174"/>
      <c r="J107" s="176" t="s">
        <v>101</v>
      </c>
      <c r="K107" s="175">
        <f>MIN(K42:K61,K73:K92)</f>
        <v>-18.904402699727939</v>
      </c>
      <c r="L107" s="175">
        <f>MIN(L42:L61,L73:L92)</f>
        <v>-14.868588655592418</v>
      </c>
      <c r="M107" s="175">
        <f>MIN(M42:M61,M73:M92)</f>
        <v>-32.302079130907657</v>
      </c>
      <c r="N107" s="175">
        <f>MIN(N42:N61,N73:N92)</f>
        <v>-37.272999507541613</v>
      </c>
      <c r="O107" s="175">
        <f>MIN(O42:O61,O73:O92)</f>
        <v>0</v>
      </c>
      <c r="R107" s="200"/>
      <c r="S107" s="201" t="s">
        <v>6</v>
      </c>
      <c r="T107" s="204"/>
      <c r="U107" s="212">
        <f>EXP(U104/100)</f>
        <v>395.98473305420555</v>
      </c>
      <c r="V107" s="212">
        <f>EXP(V104/100)</f>
        <v>401.33146628038241</v>
      </c>
      <c r="W107" s="9"/>
      <c r="Z107" s="176" t="s">
        <v>101</v>
      </c>
      <c r="AA107" s="175">
        <f>MIN(AA42:AA61,AA73:AA92)</f>
        <v>-4.5504802854865147</v>
      </c>
      <c r="AB107" s="175">
        <f>MIN(AB42:AB61,AB73:AB92)</f>
        <v>-3.7368229480490527</v>
      </c>
      <c r="AC107" s="175">
        <f>MIN(AC42:AC61,AC73:AC92)</f>
        <v>-8.3038784699145936</v>
      </c>
      <c r="AD107" s="175">
        <f>MIN(AD42:AD61,AD73:AD92)</f>
        <v>-9.0350573954634683</v>
      </c>
      <c r="AE107" s="175">
        <f>MIN(AE42:AE61,AE73:AE92)</f>
        <v>0</v>
      </c>
    </row>
    <row r="108" spans="2:31" s="10" customFormat="1" x14ac:dyDescent="0.25">
      <c r="B108" s="200"/>
      <c r="C108" s="200"/>
      <c r="D108" s="200"/>
      <c r="E108" s="200"/>
      <c r="F108" s="200"/>
      <c r="G108" s="9"/>
      <c r="H108" s="9"/>
      <c r="I108" s="176" t="s">
        <v>96</v>
      </c>
      <c r="J108" s="174" t="e">
        <f>IF(ISBLANK(K35),1/0,K35)</f>
        <v>#DIV/0!</v>
      </c>
      <c r="K108" s="173"/>
      <c r="L108" s="174"/>
      <c r="M108" s="174"/>
      <c r="N108" s="174"/>
      <c r="O108" s="74"/>
      <c r="R108" s="200"/>
      <c r="S108" s="201" t="s">
        <v>7</v>
      </c>
      <c r="T108" s="201"/>
      <c r="U108" s="212">
        <f>100*EXP(U105/100)-100</f>
        <v>5.8332496457776983</v>
      </c>
      <c r="V108" s="212">
        <f>100*EXP(V105/100)-100</f>
        <v>5.6935664969033297</v>
      </c>
      <c r="W108" s="9"/>
      <c r="Y108" s="176" t="s">
        <v>96</v>
      </c>
      <c r="Z108" s="174" t="e">
        <f>IF(ISBLANK(AA35),1/0,AA35)</f>
        <v>#DIV/0!</v>
      </c>
      <c r="AA108" s="173"/>
      <c r="AB108" s="174"/>
      <c r="AC108" s="174"/>
      <c r="AD108" s="174"/>
      <c r="AE108" s="101"/>
    </row>
    <row r="109" spans="2:31" s="10" customFormat="1" x14ac:dyDescent="0.25">
      <c r="G109" s="9"/>
      <c r="H109" s="9"/>
      <c r="I109" s="176"/>
      <c r="J109" s="174" t="e">
        <f>J108</f>
        <v>#DIV/0!</v>
      </c>
      <c r="K109" s="173"/>
      <c r="L109" s="174"/>
      <c r="M109" s="174"/>
      <c r="N109" s="174"/>
      <c r="O109" s="9"/>
      <c r="R109" s="200"/>
      <c r="S109" s="201" t="s">
        <v>8</v>
      </c>
      <c r="T109" s="201"/>
      <c r="U109" s="207">
        <f>EXP(U105/100)</f>
        <v>1.0583324964577769</v>
      </c>
      <c r="V109" s="207">
        <f>EXP(V105/100)</f>
        <v>1.0569356649690334</v>
      </c>
      <c r="W109" s="9"/>
      <c r="Y109" s="176"/>
      <c r="Z109" s="174" t="e">
        <f>Z108</f>
        <v>#DIV/0!</v>
      </c>
      <c r="AA109" s="173"/>
      <c r="AB109" s="174"/>
      <c r="AC109" s="174"/>
      <c r="AD109" s="174"/>
      <c r="AE109" s="102"/>
    </row>
    <row r="110" spans="2:31" s="10" customFormat="1" x14ac:dyDescent="0.25">
      <c r="G110" s="9"/>
      <c r="H110" s="240"/>
      <c r="I110" s="9"/>
      <c r="J110" s="7"/>
      <c r="K110" s="102"/>
      <c r="L110" s="9"/>
      <c r="M110" s="9"/>
      <c r="N110" s="9"/>
      <c r="O110" s="9"/>
      <c r="W110" s="9"/>
      <c r="Z110" s="7"/>
      <c r="AA110" s="102"/>
      <c r="AB110" s="102"/>
      <c r="AC110" s="102"/>
      <c r="AD110" s="102"/>
      <c r="AE110" s="102"/>
    </row>
    <row r="111" spans="2:31" s="10" customFormat="1" x14ac:dyDescent="0.25">
      <c r="B111" s="193"/>
      <c r="C111" s="196" t="s">
        <v>95</v>
      </c>
      <c r="D111" s="201"/>
      <c r="E111" s="197">
        <v>1</v>
      </c>
      <c r="F111" s="197">
        <v>1</v>
      </c>
      <c r="G111" s="9"/>
      <c r="H111" s="240"/>
      <c r="I111" s="9"/>
      <c r="J111" s="7"/>
      <c r="K111" s="102"/>
      <c r="L111" s="9"/>
      <c r="M111" s="9"/>
      <c r="N111" s="9"/>
      <c r="O111" s="9"/>
      <c r="R111" s="249"/>
      <c r="S111" s="250" t="s">
        <v>95</v>
      </c>
      <c r="T111" s="201"/>
      <c r="U111" s="251">
        <f>E111</f>
        <v>1</v>
      </c>
      <c r="V111" s="251">
        <f>F111</f>
        <v>1</v>
      </c>
      <c r="W111" s="9"/>
      <c r="Z111" s="7"/>
      <c r="AA111" s="102"/>
      <c r="AB111" s="102"/>
      <c r="AC111" s="102"/>
      <c r="AD111" s="102"/>
      <c r="AE111" s="102"/>
    </row>
    <row r="112" spans="2:31" s="10" customFormat="1" x14ac:dyDescent="0.25">
      <c r="B112" s="200"/>
      <c r="C112" s="201" t="s">
        <v>97</v>
      </c>
      <c r="D112" s="201"/>
      <c r="E112" s="205">
        <f>IF(OR(ISERROR(E105),ISBLANK(E111),E111=0),"",E105)</f>
        <v>22.257740408128811</v>
      </c>
      <c r="F112" s="205">
        <f>IF(OR(ISERROR(F105),ISBLANK(F111),F111=0),"",F105)</f>
        <v>21.885847696103294</v>
      </c>
      <c r="G112" s="9"/>
      <c r="H112" s="9"/>
      <c r="I112" s="9"/>
      <c r="J112" s="7"/>
      <c r="K112" s="102"/>
      <c r="L112" s="9"/>
      <c r="M112" s="9"/>
      <c r="N112" s="9"/>
      <c r="O112" s="9"/>
      <c r="R112" s="200"/>
      <c r="S112" s="201" t="s">
        <v>97</v>
      </c>
      <c r="T112" s="201"/>
      <c r="U112" s="226">
        <f>IF(OR(ISERROR(U105),ISBLANK(U111),U111=0),"",U105)</f>
        <v>5.6694552927675499</v>
      </c>
      <c r="V112" s="226">
        <f>IF(OR(ISERROR(V105),ISBLANK(V111),V111=0),"",V105)</f>
        <v>5.5373839348891387</v>
      </c>
      <c r="W112" s="9"/>
      <c r="Z112" s="7"/>
      <c r="AA112" s="102"/>
      <c r="AB112" s="102"/>
      <c r="AC112" s="102"/>
      <c r="AD112" s="102"/>
      <c r="AE112" s="102"/>
    </row>
    <row r="113" spans="1:31" s="10" customFormat="1" x14ac:dyDescent="0.25">
      <c r="B113" s="200"/>
      <c r="C113" s="201" t="s">
        <v>197</v>
      </c>
      <c r="D113" s="200"/>
      <c r="E113" s="318">
        <f>SQRT(SUMPRODUCT(E112:F112,E112:F112,E111:F111)/COUNT(E112:F112))</f>
        <v>22.072577301401392</v>
      </c>
      <c r="F113" s="200"/>
      <c r="R113" s="200"/>
      <c r="S113" s="201" t="s">
        <v>199</v>
      </c>
      <c r="T113" s="200"/>
      <c r="U113" s="319">
        <f>100*U114-100</f>
        <v>5.7637965352511173</v>
      </c>
      <c r="V113" s="200"/>
    </row>
    <row r="114" spans="1:31" s="10" customFormat="1" x14ac:dyDescent="0.25">
      <c r="B114" s="200"/>
      <c r="C114" s="200"/>
      <c r="D114" s="200"/>
      <c r="E114" s="200"/>
      <c r="F114" s="200"/>
      <c r="G114" s="9"/>
      <c r="H114" s="100"/>
      <c r="R114" s="200"/>
      <c r="S114" s="203" t="s">
        <v>200</v>
      </c>
      <c r="T114" s="200"/>
      <c r="U114" s="318">
        <f>EXP(SQRT(SUMPRODUCT(U112:V112,U112:V112,U111:V111)/COUNT(U112:V112))/100)</f>
        <v>1.0576379653525112</v>
      </c>
      <c r="V114" s="200"/>
      <c r="W114" s="9"/>
      <c r="X114" s="100"/>
    </row>
    <row r="115" spans="1:31" x14ac:dyDescent="0.25">
      <c r="A115" s="10"/>
      <c r="B115" s="200"/>
      <c r="C115" s="201" t="s">
        <v>198</v>
      </c>
      <c r="D115" s="201"/>
      <c r="E115" s="239">
        <f>E113/(1-3/(4*(SUMPRODUCT(E106:F106,E111:F111)/SUM(E111:F111)-1)-1))</f>
        <v>22.508220274455368</v>
      </c>
      <c r="F115" s="202"/>
      <c r="G115" s="9"/>
      <c r="H115" s="9"/>
      <c r="P115" s="10"/>
      <c r="Q115" s="10"/>
      <c r="R115" s="200"/>
      <c r="S115" s="201" t="s">
        <v>198</v>
      </c>
      <c r="T115" s="201"/>
      <c r="U115" s="241">
        <f>SQRT(SUMPRODUCT(U112:V112,U112:V112,U111:V111)/COUNT(U112:V112))/(1-3/(4*(SUMPRODUCT(U106:V106,U111:V111)/SUM(U111:V111)-1)-1))</f>
        <v>5.7144101996314856</v>
      </c>
      <c r="V115" s="227"/>
      <c r="W115" s="8"/>
      <c r="X115" s="7"/>
    </row>
    <row r="116" spans="1:31" x14ac:dyDescent="0.25">
      <c r="B116" s="200"/>
      <c r="C116" s="199" t="s">
        <v>48</v>
      </c>
      <c r="D116" s="199"/>
      <c r="E116" s="206"/>
      <c r="F116" s="206"/>
      <c r="I116" s="213"/>
      <c r="J116" s="214" t="s">
        <v>114</v>
      </c>
      <c r="K116" s="215"/>
      <c r="L116" s="215"/>
      <c r="M116" s="215"/>
      <c r="N116" s="215"/>
      <c r="O116" s="215"/>
      <c r="R116" s="200"/>
      <c r="S116" s="199" t="s">
        <v>48</v>
      </c>
      <c r="T116" s="199"/>
      <c r="U116" s="206"/>
      <c r="V116" s="206"/>
      <c r="X116" s="7"/>
      <c r="Y116" s="213"/>
      <c r="Z116" s="214" t="s">
        <v>114</v>
      </c>
      <c r="AA116" s="213"/>
      <c r="AB116" s="215"/>
      <c r="AC116" s="215"/>
      <c r="AD116" s="215"/>
      <c r="AE116" s="215"/>
    </row>
    <row r="117" spans="1:31" x14ac:dyDescent="0.25">
      <c r="B117" s="200"/>
      <c r="C117" s="201" t="s">
        <v>144</v>
      </c>
      <c r="D117" s="207">
        <f>D93-D62</f>
        <v>-0.48534395717410028</v>
      </c>
      <c r="E117" s="207">
        <f>E93-E62</f>
        <v>-14.284003223538889</v>
      </c>
      <c r="F117" s="207">
        <f>F93-F62</f>
        <v>-8.0978576102417037</v>
      </c>
      <c r="I117" s="215"/>
      <c r="J117" s="216" t="s">
        <v>144</v>
      </c>
      <c r="K117" s="218">
        <f>K93-K62</f>
        <v>6.1861456132973016</v>
      </c>
      <c r="L117" s="218">
        <f>L93-L62</f>
        <v>6.8508082896521776</v>
      </c>
      <c r="M117" s="218">
        <f>M93-M62</f>
        <v>4.0157696088262727</v>
      </c>
      <c r="N117" s="218">
        <f>N93-N62</f>
        <v>-2.8350386808259058</v>
      </c>
      <c r="O117" s="218" t="e">
        <f>O93-O62</f>
        <v>#DIV/0!</v>
      </c>
      <c r="R117" s="200"/>
      <c r="S117" s="201" t="s">
        <v>147</v>
      </c>
      <c r="T117" s="201"/>
      <c r="U117" s="226">
        <f>U93-U62</f>
        <v>-3.59963532878362</v>
      </c>
      <c r="V117" s="226">
        <f>V93-V62</f>
        <v>-2.0420014601447747</v>
      </c>
      <c r="X117" s="7"/>
      <c r="Y117" s="223"/>
      <c r="Z117" s="216" t="s">
        <v>148</v>
      </c>
      <c r="AA117" s="223">
        <f>AA93-AA62</f>
        <v>1.5576338686389022</v>
      </c>
      <c r="AB117" s="223">
        <f>AB93-AB62</f>
        <v>1.6787950141945882</v>
      </c>
      <c r="AC117" s="223">
        <f>AC93-AC62</f>
        <v>1.0466102760652405</v>
      </c>
      <c r="AD117" s="223">
        <f>AD93-AD62</f>
        <v>-0.63218473812934795</v>
      </c>
      <c r="AE117" s="223" t="e">
        <f>AE93-AE62</f>
        <v>#DIV/0!</v>
      </c>
    </row>
    <row r="118" spans="1:31" x14ac:dyDescent="0.25">
      <c r="B118" s="200"/>
      <c r="C118" s="201" t="s">
        <v>146</v>
      </c>
      <c r="D118" s="207">
        <f>D117/D195</f>
        <v>-0.1423357358153996</v>
      </c>
      <c r="E118" s="207">
        <f>E117/E195</f>
        <v>-0.6564780108217646</v>
      </c>
      <c r="F118" s="207">
        <f>F117/F195</f>
        <v>-0.36439872739086077</v>
      </c>
      <c r="I118" s="213"/>
      <c r="J118" s="216" t="s">
        <v>145</v>
      </c>
      <c r="K118" s="218">
        <f>K117/K195</f>
        <v>0.27483939369111171</v>
      </c>
      <c r="L118" s="218">
        <f>L117/L195</f>
        <v>0.30436916851338869</v>
      </c>
      <c r="M118" s="218">
        <f>M117/M195</f>
        <v>0.1784134667183695</v>
      </c>
      <c r="N118" s="218">
        <f>N117/N195</f>
        <v>-0.12595570179501922</v>
      </c>
      <c r="O118" s="218" t="e">
        <f>O117/O195</f>
        <v>#DIV/0!</v>
      </c>
      <c r="R118" s="200"/>
      <c r="S118" s="201" t="s">
        <v>149</v>
      </c>
      <c r="T118" s="201"/>
      <c r="U118" s="212">
        <f>100*EXP(U117/100)-100</f>
        <v>-3.5356188744970893</v>
      </c>
      <c r="V118" s="212">
        <f>100*EXP(V117/100)-100</f>
        <v>-2.021293800092252</v>
      </c>
      <c r="X118" s="7"/>
      <c r="Y118" s="217"/>
      <c r="Z118" s="216" t="s">
        <v>149</v>
      </c>
      <c r="AA118" s="217">
        <f>100*EXP(AA117/100)-100</f>
        <v>1.5698282171475455</v>
      </c>
      <c r="AB118" s="217">
        <f>100*EXP(AB117/100)-100</f>
        <v>1.6929659670447137</v>
      </c>
      <c r="AC118" s="217">
        <f>100*EXP(AC117/100)-100</f>
        <v>1.0521063990092046</v>
      </c>
      <c r="AD118" s="217">
        <f>100*EXP(AD117/100)-100</f>
        <v>-0.63019065472353475</v>
      </c>
      <c r="AE118" s="217" t="e">
        <f>100*EXP(AE117/100)-100</f>
        <v>#DIV/0!</v>
      </c>
    </row>
    <row r="119" spans="1:31" x14ac:dyDescent="0.25">
      <c r="B119" s="200"/>
      <c r="C119" s="200"/>
      <c r="D119" s="200"/>
      <c r="E119" s="200"/>
      <c r="F119" s="200"/>
      <c r="I119" s="213"/>
      <c r="J119" s="213"/>
      <c r="K119" s="213"/>
      <c r="L119" s="213"/>
      <c r="M119" s="213"/>
      <c r="N119" s="213"/>
      <c r="O119" s="213"/>
      <c r="R119" s="200"/>
      <c r="S119" s="201" t="s">
        <v>201</v>
      </c>
      <c r="T119" s="201"/>
      <c r="U119" s="228">
        <f>EXP(U117/100)</f>
        <v>0.96464381125502907</v>
      </c>
      <c r="V119" s="228">
        <f>EXP(V117/100)</f>
        <v>0.9797870619990775</v>
      </c>
      <c r="X119" s="7"/>
      <c r="Y119" s="224"/>
      <c r="Z119" s="216" t="s">
        <v>201</v>
      </c>
      <c r="AA119" s="224">
        <f>EXP(AA117/100)</f>
        <v>1.0156982821714755</v>
      </c>
      <c r="AB119" s="224">
        <f>EXP(AB117/100)</f>
        <v>1.0169296596704471</v>
      </c>
      <c r="AC119" s="224">
        <f>EXP(AC117/100)</f>
        <v>1.0105210639900921</v>
      </c>
      <c r="AD119" s="224">
        <f>EXP(AD117/100)</f>
        <v>0.99369809345276472</v>
      </c>
      <c r="AE119" s="224" t="e">
        <f>EXP(AE117/100)</f>
        <v>#DIV/0!</v>
      </c>
    </row>
    <row r="120" spans="1:31" x14ac:dyDescent="0.25">
      <c r="B120" s="200"/>
      <c r="C120" s="200"/>
      <c r="D120" s="200"/>
      <c r="E120" s="200"/>
      <c r="F120" s="200"/>
      <c r="I120" s="213"/>
      <c r="J120" s="213"/>
      <c r="K120" s="213"/>
      <c r="L120" s="213"/>
      <c r="M120" s="213"/>
      <c r="N120" s="213"/>
      <c r="O120" s="213"/>
      <c r="R120" s="200"/>
      <c r="S120" s="201" t="s">
        <v>145</v>
      </c>
      <c r="T120" s="201"/>
      <c r="U120" s="207">
        <f>U117/U195</f>
        <v>-0.64871407311530316</v>
      </c>
      <c r="V120" s="207">
        <f>V117/V195</f>
        <v>-0.36308619291762195</v>
      </c>
      <c r="X120" s="7"/>
      <c r="Y120" s="218"/>
      <c r="Z120" s="216" t="s">
        <v>145</v>
      </c>
      <c r="AA120" s="218">
        <f>AA117/AA195</f>
        <v>0.27257998887432894</v>
      </c>
      <c r="AB120" s="218">
        <f>AB117/AB195</f>
        <v>0.29378272744628159</v>
      </c>
      <c r="AC120" s="218">
        <f>AC117/AC195</f>
        <v>0.18315280833929895</v>
      </c>
      <c r="AD120" s="218">
        <f>AD117/AD195</f>
        <v>-0.11062991910698267</v>
      </c>
      <c r="AE120" s="218" t="e">
        <f>AE117/AE195</f>
        <v>#DIV/0!</v>
      </c>
    </row>
    <row r="121" spans="1:31" x14ac:dyDescent="0.25">
      <c r="B121" s="200"/>
      <c r="C121" s="201"/>
      <c r="D121" s="208"/>
      <c r="E121" s="208"/>
      <c r="F121" s="208"/>
      <c r="I121" s="213"/>
      <c r="J121" s="216"/>
      <c r="K121" s="219"/>
      <c r="L121" s="219"/>
      <c r="M121" s="219"/>
      <c r="N121" s="219"/>
      <c r="O121" s="219"/>
      <c r="R121" s="200"/>
      <c r="S121" s="201"/>
      <c r="T121" s="201"/>
      <c r="U121" s="208"/>
      <c r="V121" s="208"/>
      <c r="Y121" s="219"/>
      <c r="Z121" s="216"/>
      <c r="AA121" s="219"/>
      <c r="AB121" s="219"/>
      <c r="AC121" s="219"/>
      <c r="AD121" s="219"/>
      <c r="AE121" s="219"/>
    </row>
    <row r="122" spans="1:31" s="111" customFormat="1" x14ac:dyDescent="0.25">
      <c r="B122" s="200"/>
      <c r="C122" s="201" t="s">
        <v>113</v>
      </c>
      <c r="D122" s="209">
        <f>(D64^2+D95^2)^2/(D64^4/D65+D95^4/D96)</f>
        <v>36.522390431992946</v>
      </c>
      <c r="E122" s="209">
        <f>(E64^2+E95^2)^2/(E64^4/E65+E95^4/E96)</f>
        <v>37.882044844186858</v>
      </c>
      <c r="F122" s="209">
        <f>(F64^2+F95^2)^2/(F64^4/F65+F95^4/F96)</f>
        <v>37.855696617834489</v>
      </c>
      <c r="I122" s="213"/>
      <c r="J122" s="216" t="s">
        <v>113</v>
      </c>
      <c r="K122" s="220">
        <f>(K64^2+K95^2)^2/(K64^4/K65+K95^4/K96)</f>
        <v>37.353422930651298</v>
      </c>
      <c r="L122" s="220">
        <f>(L64^2+L95^2)^2/(L64^4/L65+L95^4/L96)</f>
        <v>35.270771079252434</v>
      </c>
      <c r="M122" s="220">
        <f>(M64^2+M95^2)^2/(M64^4/M65+M95^4/M96)</f>
        <v>28.458687065635782</v>
      </c>
      <c r="N122" s="220">
        <f>(N64^2+N95^2)^2/(N64^4/N65+N95^4/N96)</f>
        <v>35.831441142288668</v>
      </c>
      <c r="O122" s="220" t="e">
        <f>(O64^2+O95^2)^2/(O64^4/O65+O95^4/O96)</f>
        <v>#DIV/0!</v>
      </c>
      <c r="R122" s="200"/>
      <c r="S122" s="201" t="s">
        <v>113</v>
      </c>
      <c r="T122" s="201"/>
      <c r="U122" s="209">
        <f>(U64^2+U95^2)^2/(U64^4/U65+U95^4/U96)</f>
        <v>37.999774306951309</v>
      </c>
      <c r="V122" s="209">
        <f>(V64^2+V95^2)^2/(V64^4/V65+V95^4/V96)</f>
        <v>37.606313604722494</v>
      </c>
      <c r="Y122" s="220"/>
      <c r="Z122" s="216" t="s">
        <v>113</v>
      </c>
      <c r="AA122" s="220">
        <f>(AA64^2+AA95^2)^2/(AA64^4/AA65+AA95^4/AA96)</f>
        <v>37.079343058522092</v>
      </c>
      <c r="AB122" s="220">
        <f>(AB64^2+AB95^2)^2/(AB64^4/AB65+AB95^4/AB96)</f>
        <v>35.813431770810944</v>
      </c>
      <c r="AC122" s="220">
        <f>(AC64^2+AC95^2)^2/(AC64^4/AC65+AC95^4/AC96)</f>
        <v>27.923429077369057</v>
      </c>
      <c r="AD122" s="220">
        <f>(AD64^2+AD95^2)^2/(AD64^4/AD65+AD95^4/AD96)</f>
        <v>35.673927338573336</v>
      </c>
      <c r="AE122" s="220" t="e">
        <f>(AE64^2+AE95^2)^2/(AE64^4/AE65+AE95^4/AE96)</f>
        <v>#DIV/0!</v>
      </c>
    </row>
    <row r="123" spans="1:31" s="111" customFormat="1" x14ac:dyDescent="0.25">
      <c r="B123" s="200"/>
      <c r="C123" s="210" t="s">
        <v>62</v>
      </c>
      <c r="D123" s="211">
        <f>SQRT(D64^2+D95^2)</f>
        <v>1.0559945621543489</v>
      </c>
      <c r="E123" s="211">
        <f>SQRT(E64^2+E95^2)</f>
        <v>6.7435243468026496</v>
      </c>
      <c r="F123" s="211">
        <f>SQRT(F64^2+F95^2)</f>
        <v>6.8872249905830953</v>
      </c>
      <c r="I123" s="213"/>
      <c r="J123" s="221" t="s">
        <v>62</v>
      </c>
      <c r="K123" s="277">
        <f>SQRT(K64^2+K95^2)</f>
        <v>4.1607257724690809</v>
      </c>
      <c r="L123" s="277">
        <f>SQRT(L64^2+L95^2)</f>
        <v>4.2508124899362487</v>
      </c>
      <c r="M123" s="277">
        <f>SQRT(M64^2+M95^2)</f>
        <v>4.555046462494067</v>
      </c>
      <c r="N123" s="277">
        <f>SQRT(N64^2+N95^2)</f>
        <v>4.8771972515726265</v>
      </c>
      <c r="O123" s="222" t="e">
        <f>SQRT(O64^2+O95^2)</f>
        <v>#DIV/0!</v>
      </c>
      <c r="R123" s="200"/>
      <c r="S123" s="210" t="s">
        <v>62</v>
      </c>
      <c r="T123" s="210"/>
      <c r="U123" s="211">
        <f>SQRT(U64^2+U95^2)</f>
        <v>1.7198473496739821</v>
      </c>
      <c r="V123" s="211">
        <f>SQRT(V64^2+V95^2)</f>
        <v>1.7427628648816829</v>
      </c>
      <c r="Y123" s="213"/>
      <c r="Z123" s="221" t="s">
        <v>62</v>
      </c>
      <c r="AA123" s="222">
        <f>SQRT(AA64^2+AA95^2)</f>
        <v>1.0392258793209916</v>
      </c>
      <c r="AB123" s="349">
        <f>SQRT(AB64^2+AB95^2)</f>
        <v>1.0436204044052779</v>
      </c>
      <c r="AC123" s="222">
        <f>SQRT(AC64^2+AC95^2)</f>
        <v>1.1326798150634996</v>
      </c>
      <c r="AD123" s="222">
        <f>SQRT(AD64^2+AD95^2)</f>
        <v>1.2001433193677702</v>
      </c>
      <c r="AE123" s="222" t="e">
        <f>SQRT(AE64^2+AE95^2)</f>
        <v>#DIV/0!</v>
      </c>
    </row>
    <row r="124" spans="1:31" s="111" customFormat="1" x14ac:dyDescent="0.25"/>
    <row r="125" spans="1:31" x14ac:dyDescent="0.25">
      <c r="B125" s="111" t="s">
        <v>4</v>
      </c>
      <c r="D125" s="111" t="str">
        <f>CONCATENATE($B$73,"-",$B$42," difference")</f>
        <v>Exptal-Control difference</v>
      </c>
      <c r="I125" s="111" t="s">
        <v>4</v>
      </c>
      <c r="K125" s="111" t="str">
        <f>CONCATENATE($B$73,"-",$B$42," difference")</f>
        <v>Exptal-Control difference</v>
      </c>
      <c r="R125" s="111" t="s">
        <v>5</v>
      </c>
      <c r="U125" s="111" t="str">
        <f>CONCATENATE($B$73,"-",$B$42," difference")</f>
        <v>Exptal-Control difference</v>
      </c>
      <c r="V125" s="111"/>
      <c r="Y125" s="111" t="s">
        <v>5</v>
      </c>
      <c r="Z125" s="7"/>
      <c r="AA125" s="111" t="str">
        <f>CONCATENATE($B$73,"-",$B$42," difference")</f>
        <v>Exptal-Control difference</v>
      </c>
      <c r="AB125" s="1"/>
      <c r="AC125" s="1"/>
      <c r="AD125" s="1"/>
      <c r="AE125" s="1"/>
    </row>
    <row r="126" spans="1:31" s="115" customFormat="1" ht="30" customHeight="1" x14ac:dyDescent="0.3">
      <c r="B126" s="438" t="s">
        <v>43</v>
      </c>
      <c r="C126" s="439"/>
      <c r="D126" s="120" t="str">
        <f>D41</f>
        <v>X</v>
      </c>
      <c r="E126" s="120" t="str">
        <f>E41</f>
        <v>Pre1</v>
      </c>
      <c r="F126" s="120" t="str">
        <f>F41</f>
        <v>Pre2</v>
      </c>
      <c r="I126" s="392" t="s">
        <v>16</v>
      </c>
      <c r="J126" s="393"/>
      <c r="K126" s="120" t="str">
        <f>K41</f>
        <v>Pre2-Pre1</v>
      </c>
      <c r="L126" s="120" t="str">
        <f>L41</f>
        <v>Post1-Pre2</v>
      </c>
      <c r="M126" s="120" t="str">
        <f>M41</f>
        <v>Post2-Pre2</v>
      </c>
      <c r="N126" s="120" t="str">
        <f>N41</f>
        <v>Post2-Post1</v>
      </c>
      <c r="O126" s="120" t="str">
        <f>O41</f>
        <v>other effect</v>
      </c>
      <c r="R126" s="438" t="s">
        <v>118</v>
      </c>
      <c r="S126" s="439"/>
      <c r="T126" s="188"/>
      <c r="U126" s="120" t="str">
        <f>U41</f>
        <v>Pre1</v>
      </c>
      <c r="V126" s="120" t="str">
        <f>V41</f>
        <v>Pre2</v>
      </c>
      <c r="Y126" s="392" t="s">
        <v>18</v>
      </c>
      <c r="Z126" s="393"/>
      <c r="AA126" s="120" t="str">
        <f>AA41</f>
        <v>Pre2-Pre1</v>
      </c>
      <c r="AB126" s="120" t="str">
        <f>AB41</f>
        <v>Post1-Pre2</v>
      </c>
      <c r="AC126" s="120" t="str">
        <f>AC41</f>
        <v>Post2-Pre2</v>
      </c>
      <c r="AD126" s="120" t="str">
        <f>AD41</f>
        <v>Post2-Post1</v>
      </c>
      <c r="AE126" s="120" t="str">
        <f>AE41</f>
        <v>other effect</v>
      </c>
    </row>
    <row r="127" spans="1:31" s="323" customFormat="1" x14ac:dyDescent="0.25">
      <c r="A127" s="52"/>
      <c r="B127" s="320"/>
      <c r="C127" s="321" t="s">
        <v>130</v>
      </c>
      <c r="D127" s="322">
        <f>$E$35</f>
        <v>90</v>
      </c>
      <c r="E127" s="322">
        <f>$E$35</f>
        <v>90</v>
      </c>
      <c r="F127" s="322">
        <f>$E$35</f>
        <v>90</v>
      </c>
      <c r="I127" s="324"/>
      <c r="J127" s="321" t="s">
        <v>130</v>
      </c>
      <c r="K127" s="322">
        <f>$E$35</f>
        <v>90</v>
      </c>
      <c r="L127" s="322">
        <f>$E$35</f>
        <v>90</v>
      </c>
      <c r="M127" s="322">
        <f>$E$35</f>
        <v>90</v>
      </c>
      <c r="N127" s="322">
        <f>$E$35</f>
        <v>90</v>
      </c>
      <c r="O127" s="322">
        <f>$E$35</f>
        <v>90</v>
      </c>
      <c r="R127" s="324"/>
      <c r="S127" s="321" t="s">
        <v>130</v>
      </c>
      <c r="T127" s="325"/>
      <c r="U127" s="322">
        <f>$E$35</f>
        <v>90</v>
      </c>
      <c r="V127" s="322">
        <f>$E$35</f>
        <v>90</v>
      </c>
      <c r="Y127" s="324"/>
      <c r="Z127" s="321" t="s">
        <v>130</v>
      </c>
      <c r="AA127" s="322">
        <f>$E$35</f>
        <v>90</v>
      </c>
      <c r="AB127" s="322">
        <f>$E$35</f>
        <v>90</v>
      </c>
      <c r="AC127" s="322">
        <f>$E$35</f>
        <v>90</v>
      </c>
      <c r="AD127" s="322">
        <f>$E$35</f>
        <v>90</v>
      </c>
      <c r="AE127" s="322">
        <f>$E$35</f>
        <v>90</v>
      </c>
    </row>
    <row r="128" spans="1:31" x14ac:dyDescent="0.25">
      <c r="B128" s="20"/>
      <c r="C128" s="23" t="s">
        <v>129</v>
      </c>
      <c r="D128" s="18">
        <f>D122</f>
        <v>36.522390431992946</v>
      </c>
      <c r="E128" s="18">
        <f>E122</f>
        <v>37.882044844186858</v>
      </c>
      <c r="F128" s="18">
        <f>F122</f>
        <v>37.855696617834489</v>
      </c>
      <c r="I128" s="20"/>
      <c r="J128" s="23" t="s">
        <v>129</v>
      </c>
      <c r="K128" s="26">
        <f>K122</f>
        <v>37.353422930651298</v>
      </c>
      <c r="L128" s="31">
        <f>L122</f>
        <v>35.270771079252434</v>
      </c>
      <c r="M128" s="31">
        <f>M122</f>
        <v>28.458687065635782</v>
      </c>
      <c r="N128" s="31">
        <f>N122</f>
        <v>35.831441142288668</v>
      </c>
      <c r="O128" s="31" t="e">
        <f>O122</f>
        <v>#DIV/0!</v>
      </c>
      <c r="R128" s="20"/>
      <c r="S128" s="23" t="s">
        <v>129</v>
      </c>
      <c r="T128" s="167"/>
      <c r="U128" s="18">
        <f>U122</f>
        <v>37.999774306951309</v>
      </c>
      <c r="V128" s="18">
        <f>V122</f>
        <v>37.606313604722494</v>
      </c>
      <c r="W128" s="28"/>
      <c r="Y128" s="20"/>
      <c r="Z128" s="23" t="s">
        <v>129</v>
      </c>
      <c r="AA128" s="26">
        <f>AA122</f>
        <v>37.079343058522092</v>
      </c>
      <c r="AB128" s="31">
        <f>AB122</f>
        <v>35.813431770810944</v>
      </c>
      <c r="AC128" s="31">
        <f>AC122</f>
        <v>27.923429077369057</v>
      </c>
      <c r="AD128" s="31">
        <f>AD122</f>
        <v>35.673927338573336</v>
      </c>
      <c r="AE128" s="31" t="e">
        <f>AE122</f>
        <v>#DIV/0!</v>
      </c>
    </row>
    <row r="129" spans="2:31" x14ac:dyDescent="0.25">
      <c r="B129" s="20"/>
      <c r="C129" s="29" t="s">
        <v>128</v>
      </c>
      <c r="D129" s="16">
        <f>D117</f>
        <v>-0.48534395717410028</v>
      </c>
      <c r="E129" s="16">
        <f>E117</f>
        <v>-14.284003223538889</v>
      </c>
      <c r="F129" s="16">
        <f>F117</f>
        <v>-8.0978576102417037</v>
      </c>
      <c r="I129" s="20"/>
      <c r="J129" s="29" t="s">
        <v>128</v>
      </c>
      <c r="K129" s="16">
        <f>K117</f>
        <v>6.1861456132973016</v>
      </c>
      <c r="L129" s="16">
        <f>L117</f>
        <v>6.8508082896521776</v>
      </c>
      <c r="M129" s="16">
        <f>M117</f>
        <v>4.0157696088262727</v>
      </c>
      <c r="N129" s="16">
        <f>N117</f>
        <v>-2.8350386808259058</v>
      </c>
      <c r="O129" s="16" t="e">
        <f>O117</f>
        <v>#DIV/0!</v>
      </c>
      <c r="R129" s="20"/>
      <c r="S129" s="29" t="s">
        <v>133</v>
      </c>
      <c r="T129" s="29"/>
      <c r="U129" s="16">
        <f t="shared" ref="U129:V131" si="38">100*EXP(U245/100)-100</f>
        <v>-3.5356188744970893</v>
      </c>
      <c r="V129" s="16">
        <f t="shared" si="38"/>
        <v>-2.021293800092252</v>
      </c>
      <c r="W129" s="28"/>
      <c r="Y129" s="20"/>
      <c r="Z129" s="29" t="s">
        <v>133</v>
      </c>
      <c r="AA129" s="16">
        <f t="shared" ref="AA129:AE131" si="39">100*EXP(AA245/100)-100</f>
        <v>1.5698282171475455</v>
      </c>
      <c r="AB129" s="16">
        <f t="shared" si="39"/>
        <v>1.6929659670447137</v>
      </c>
      <c r="AC129" s="16">
        <f t="shared" si="39"/>
        <v>1.0521063990092046</v>
      </c>
      <c r="AD129" s="16">
        <f t="shared" si="39"/>
        <v>-0.63019065472353475</v>
      </c>
      <c r="AE129" s="16" t="e">
        <f t="shared" si="39"/>
        <v>#DIV/0!</v>
      </c>
    </row>
    <row r="130" spans="2:31" s="50" customFormat="1" ht="12.75" customHeight="1" x14ac:dyDescent="0.25">
      <c r="B130" s="400" t="s">
        <v>125</v>
      </c>
      <c r="C130" s="21" t="s">
        <v>9</v>
      </c>
      <c r="D130" s="57">
        <f>D129-TINV((100-D127)/100,D128)*D123</f>
        <v>-2.268177162579077</v>
      </c>
      <c r="E130" s="57">
        <f>E129-TINV((100-E127)/100,E128)*E123</f>
        <v>-25.660960122621695</v>
      </c>
      <c r="F130" s="57">
        <f>F129-TINV((100-F127)/100,F128)*F123</f>
        <v>-19.717250948578375</v>
      </c>
      <c r="I130" s="400" t="s">
        <v>125</v>
      </c>
      <c r="J130" s="21" t="s">
        <v>9</v>
      </c>
      <c r="K130" s="57">
        <f>K129-TINV((100-K127)/100,K128)*K123</f>
        <v>-0.8333882903250176</v>
      </c>
      <c r="L130" s="57">
        <f>L129-TINV((100-L127)/100,L128)*L123</f>
        <v>-0.33124741653245682</v>
      </c>
      <c r="M130" s="57">
        <f>M129-TINV((100-M127)/100,M128)*M123</f>
        <v>-3.7329608355409913</v>
      </c>
      <c r="N130" s="57">
        <f>N129-TINV((100-N127)/100,N128)*N123</f>
        <v>-11.07541682824462</v>
      </c>
      <c r="O130" s="57" t="e">
        <f>O129-TINV((100-O127)/100,O128)*O123</f>
        <v>#DIV/0!</v>
      </c>
      <c r="R130" s="436" t="s">
        <v>131</v>
      </c>
      <c r="S130" s="21" t="s">
        <v>9</v>
      </c>
      <c r="T130" s="21"/>
      <c r="U130" s="57">
        <f t="shared" si="38"/>
        <v>-6.2943582887709368</v>
      </c>
      <c r="V130" s="57">
        <f t="shared" si="38"/>
        <v>-4.8601294583944536</v>
      </c>
      <c r="W130" s="51"/>
      <c r="Y130" s="436" t="s">
        <v>131</v>
      </c>
      <c r="Z130" s="21" t="s">
        <v>9</v>
      </c>
      <c r="AA130" s="57">
        <f t="shared" si="39"/>
        <v>-0.19544623629788305</v>
      </c>
      <c r="AB130" s="57">
        <f t="shared" si="39"/>
        <v>-8.4441605459645075E-2</v>
      </c>
      <c r="AC130" s="57">
        <f t="shared" si="39"/>
        <v>-0.8787860688507152</v>
      </c>
      <c r="AD130" s="57">
        <f t="shared" si="39"/>
        <v>-2.6248497076128672</v>
      </c>
      <c r="AE130" s="57" t="e">
        <f t="shared" si="39"/>
        <v>#DIV/0!</v>
      </c>
    </row>
    <row r="131" spans="2:31" s="50" customFormat="1" ht="12.75" customHeight="1" x14ac:dyDescent="0.25">
      <c r="B131" s="401"/>
      <c r="C131" s="11" t="s">
        <v>10</v>
      </c>
      <c r="D131" s="61">
        <f>D129+TINV((100-D127)/100,D128)*D123</f>
        <v>1.2974892482308762</v>
      </c>
      <c r="E131" s="61">
        <f>E129+TINV((100-E127)/100,E128)*E123</f>
        <v>-2.9070463244560827</v>
      </c>
      <c r="F131" s="61">
        <f>F129+TINV((100-F127)/100,F128)*F123</f>
        <v>3.5215357280949693</v>
      </c>
      <c r="I131" s="401"/>
      <c r="J131" s="11" t="s">
        <v>10</v>
      </c>
      <c r="K131" s="61">
        <f>K129+TINV((100-K127)/100,K128)*K123</f>
        <v>13.20567951691962</v>
      </c>
      <c r="L131" s="61">
        <f>L129+TINV((100-L127)/100,L128)*L123</f>
        <v>14.032863995836813</v>
      </c>
      <c r="M131" s="61">
        <f>M129+TINV((100-M127)/100,M128)*M123</f>
        <v>11.764500053193537</v>
      </c>
      <c r="N131" s="61">
        <f>N129+TINV((100-N127)/100,N128)*N123</f>
        <v>5.4053394665928094</v>
      </c>
      <c r="O131" s="61" t="e">
        <f>O129+TINV((100-O127)/100,O128)*O123</f>
        <v>#DIV/0!</v>
      </c>
      <c r="R131" s="437"/>
      <c r="S131" s="11" t="s">
        <v>10</v>
      </c>
      <c r="T131" s="11"/>
      <c r="U131" s="61">
        <f t="shared" si="38"/>
        <v>-0.69566083755671571</v>
      </c>
      <c r="V131" s="61">
        <f t="shared" si="38"/>
        <v>0.90224859418690073</v>
      </c>
      <c r="W131" s="68"/>
      <c r="Y131" s="437"/>
      <c r="Z131" s="11" t="s">
        <v>10</v>
      </c>
      <c r="AA131" s="61">
        <f t="shared" si="39"/>
        <v>3.3663256336590166</v>
      </c>
      <c r="AB131" s="61">
        <f t="shared" si="39"/>
        <v>3.5019920154857118</v>
      </c>
      <c r="AC131" s="61">
        <f t="shared" si="39"/>
        <v>3.0206128707192903</v>
      </c>
      <c r="AD131" s="61">
        <f t="shared" si="39"/>
        <v>1.4053275365119475</v>
      </c>
      <c r="AE131" s="61" t="e">
        <f t="shared" si="39"/>
        <v>#DIV/0!</v>
      </c>
    </row>
    <row r="132" spans="2:31" s="50" customFormat="1" x14ac:dyDescent="0.25">
      <c r="B132" s="402"/>
      <c r="C132" s="12" t="s">
        <v>11</v>
      </c>
      <c r="D132" s="64">
        <f>(D131-D130)/2</f>
        <v>1.7828332054049767</v>
      </c>
      <c r="E132" s="64">
        <f>(E131-E130)/2</f>
        <v>11.376956899082806</v>
      </c>
      <c r="F132" s="64">
        <f>(F131-F130)/2</f>
        <v>11.619393338336671</v>
      </c>
      <c r="I132" s="402"/>
      <c r="J132" s="12" t="s">
        <v>11</v>
      </c>
      <c r="K132" s="64">
        <f>(K131-K130)/2</f>
        <v>7.0195339036223192</v>
      </c>
      <c r="L132" s="64">
        <f>(L131-L130)/2</f>
        <v>7.1820557061846344</v>
      </c>
      <c r="M132" s="64">
        <f>(M131-M130)/2</f>
        <v>7.748730444367264</v>
      </c>
      <c r="N132" s="64">
        <f>(N131-N130)/2</f>
        <v>8.2403781474187152</v>
      </c>
      <c r="O132" s="64" t="e">
        <f>(O131-O130)/2</f>
        <v>#DIV/0!</v>
      </c>
      <c r="R132" s="69"/>
      <c r="S132" s="12" t="s">
        <v>61</v>
      </c>
      <c r="T132" s="12"/>
      <c r="U132" s="56">
        <f>(U131-U130)/2</f>
        <v>2.7993487256071106</v>
      </c>
      <c r="V132" s="56">
        <f>(V131-V130)/2</f>
        <v>2.8811890262906772</v>
      </c>
      <c r="W132" s="68"/>
      <c r="Y132" s="69"/>
      <c r="Z132" s="12" t="s">
        <v>61</v>
      </c>
      <c r="AA132" s="56">
        <f>(AA131-AA130)/2</f>
        <v>1.7808859349784498</v>
      </c>
      <c r="AB132" s="56">
        <f>(AB131-AB130)/2</f>
        <v>1.7932168104726784</v>
      </c>
      <c r="AC132" s="56">
        <f>(AC131-AC130)/2</f>
        <v>1.9496994697850027</v>
      </c>
      <c r="AD132" s="56">
        <f>(AD131-AD130)/2</f>
        <v>2.0150886220624074</v>
      </c>
      <c r="AE132" s="56" t="e">
        <f>(AE131-AE130)/2</f>
        <v>#DIV/0!</v>
      </c>
    </row>
    <row r="133" spans="2:31" s="50" customFormat="1" ht="12.75" customHeight="1" x14ac:dyDescent="0.25">
      <c r="B133" s="384" t="s">
        <v>173</v>
      </c>
      <c r="C133" s="282" t="str">
        <f>"+ive or "&amp;IF($C$27&gt;0,"harmful","beneficial")</f>
        <v>+ive or beneficial</v>
      </c>
      <c r="D133" s="238" t="s">
        <v>202</v>
      </c>
      <c r="E133" s="238" t="str">
        <f>IF(ISBLANK($C$27),"",MAX($C$27,$D$27))</f>
        <v/>
      </c>
      <c r="F133" s="238" t="str">
        <f>IF(ISBLANK($C$27),"",MAX($C$27,$D$27))</f>
        <v/>
      </c>
      <c r="I133" s="384" t="s">
        <v>173</v>
      </c>
      <c r="J133" s="282" t="str">
        <f>"+ive or "&amp;IF($C$27&gt;0,"harmful","beneficial")</f>
        <v>+ive or beneficial</v>
      </c>
      <c r="K133" s="238" t="str">
        <f>IF(ISBLANK($C$27),"",MAX($C$27,$D$27))</f>
        <v/>
      </c>
      <c r="L133" s="238" t="str">
        <f>IF(ISBLANK($C$27),"",MAX($C$27,$D$27))</f>
        <v/>
      </c>
      <c r="M133" s="238" t="str">
        <f>IF(ISBLANK($C$27),"",MAX($C$27,$D$27))</f>
        <v/>
      </c>
      <c r="N133" s="238" t="str">
        <f>IF(ISBLANK($C$27),"",MAX($C$27,$D$27))</f>
        <v/>
      </c>
      <c r="O133" s="238" t="str">
        <f>IF(ISBLANK($C$27),"",MAX($C$27,$D$27))</f>
        <v/>
      </c>
      <c r="R133" s="384" t="s">
        <v>173</v>
      </c>
      <c r="S133" s="282" t="str">
        <f>"+ive or "&amp;IF($C$28&gt;0,"harmful","beneficial")</f>
        <v>+ive or beneficial</v>
      </c>
      <c r="T133" s="65"/>
      <c r="U133" s="237" t="str">
        <f>IF(ISBLANK($C$28),"",MAX($C$28,$D$28))</f>
        <v/>
      </c>
      <c r="V133" s="237" t="str">
        <f>IF(ISBLANK($C$28),"",MAX($C$28,$D$28))</f>
        <v/>
      </c>
      <c r="W133" s="51"/>
      <c r="Y133" s="384" t="s">
        <v>173</v>
      </c>
      <c r="Z133" s="282" t="str">
        <f>"+ive or "&amp;IF($C$28&gt;0,"harmful","beneficial")</f>
        <v>+ive or beneficial</v>
      </c>
      <c r="AA133" s="237" t="str">
        <f>IF(ISBLANK($C$28),"",MAX($C$28,$D$28))</f>
        <v/>
      </c>
      <c r="AB133" s="237" t="str">
        <f>IF(ISBLANK($C$28),"",MAX($C$28,$D$28))</f>
        <v/>
      </c>
      <c r="AC133" s="237" t="str">
        <f>IF(ISBLANK($C$28),"",MAX($C$28,$D$28))</f>
        <v/>
      </c>
      <c r="AD133" s="237" t="str">
        <f>IF(ISBLANK($C$28),"",MAX($C$28,$D$28))</f>
        <v/>
      </c>
      <c r="AE133" s="237" t="str">
        <f>IF(ISBLANK($C$28),"",MAX($C$28,$D$28))</f>
        <v/>
      </c>
    </row>
    <row r="134" spans="2:31" s="50" customFormat="1" ht="12.75" customHeight="1" x14ac:dyDescent="0.25">
      <c r="B134" s="385"/>
      <c r="C134" s="283" t="str">
        <f>"-ive or "&amp;IF($C$27&lt;0,"harmful","beneficial")</f>
        <v>-ive or beneficial</v>
      </c>
      <c r="D134" s="314" t="s">
        <v>189</v>
      </c>
      <c r="E134" s="238" t="str">
        <f>IF(ISBLANK($C$27),"",MIN($C$27,$D$27))</f>
        <v/>
      </c>
      <c r="F134" s="238" t="str">
        <f>IF(ISBLANK($C$27),"",MIN($C$27,$D$27))</f>
        <v/>
      </c>
      <c r="G134" s="44"/>
      <c r="H134" s="22"/>
      <c r="I134" s="385"/>
      <c r="J134" s="283" t="str">
        <f>"-ive or "&amp;IF($C$27&lt;0,"harmful","beneficial")</f>
        <v>-ive or beneficial</v>
      </c>
      <c r="K134" s="238" t="str">
        <f>IF(ISBLANK($C$27),"",MIN($C$27,$D$27))</f>
        <v/>
      </c>
      <c r="L134" s="238" t="str">
        <f>IF(ISBLANK($C$27),"",MIN($C$27,$D$27))</f>
        <v/>
      </c>
      <c r="M134" s="238" t="str">
        <f>IF(ISBLANK($C$27),"",MIN($C$27,$D$27))</f>
        <v/>
      </c>
      <c r="N134" s="238" t="str">
        <f>IF(ISBLANK($C$27),"",MIN($C$27,$D$27))</f>
        <v/>
      </c>
      <c r="O134" s="238" t="str">
        <f>IF(ISBLANK($C$27),"",MIN($C$27,$D$27))</f>
        <v/>
      </c>
      <c r="R134" s="385"/>
      <c r="S134" s="283" t="str">
        <f>"-ive or "&amp;IF($C$28&lt;0,"harmful","beneficial")</f>
        <v>-ive or beneficial</v>
      </c>
      <c r="T134" s="66"/>
      <c r="U134" s="237" t="str">
        <f>IF(ISBLANK($C$28),"",MIN($C$28,$D$28))</f>
        <v/>
      </c>
      <c r="V134" s="237" t="str">
        <f>IF(ISBLANK($C$28),"",MIN($C$28,$D$28))</f>
        <v/>
      </c>
      <c r="W134" s="26"/>
      <c r="Y134" s="385"/>
      <c r="Z134" s="283" t="str">
        <f>"-ive or "&amp;IF($C$28&lt;0,"harmful","beneficial")</f>
        <v>-ive or beneficial</v>
      </c>
      <c r="AA134" s="237" t="str">
        <f>IF(ISBLANK($C$28),"",MIN($C$28,$D$28))</f>
        <v/>
      </c>
      <c r="AB134" s="237" t="str">
        <f>IF(ISBLANK($C$28),"",MIN($C$28,$D$28))</f>
        <v/>
      </c>
      <c r="AC134" s="237" t="str">
        <f>IF(ISBLANK($C$28),"",MIN($C$28,$D$28))</f>
        <v/>
      </c>
      <c r="AD134" s="237" t="str">
        <f>IF(ISBLANK($C$28),"",MIN($C$28,$D$28))</f>
        <v/>
      </c>
      <c r="AE134" s="237" t="str">
        <f>IF(ISBLANK($C$28),"",MIN($C$28,$D$28))</f>
        <v/>
      </c>
    </row>
    <row r="135" spans="2:31" s="50" customFormat="1" ht="12.75" customHeight="1" x14ac:dyDescent="0.25">
      <c r="B135" s="394" t="s">
        <v>231</v>
      </c>
      <c r="C135" s="427" t="str">
        <f>"substantially positive (+ive) or "&amp;IF($C$27&gt;0,"harmful","beneficial")</f>
        <v>substantially positive (+ive) or beneficial</v>
      </c>
      <c r="D135" s="67" t="e">
        <f>IF(ISERROR(TDIST((D133-D129)/D123,D128,1)),1-TDIST((D129-D133)/D123,D128,1),TDIST((D133-D129)/D123,D128,1))*100</f>
        <v>#VALUE!</v>
      </c>
      <c r="E135" s="67" t="e">
        <f>IF(ISERROR(TDIST((E133-E129)/E123,E128,1)),1-TDIST((E129-E133)/E123,E128,1),TDIST((E133-E129)/E123,E128,1))*100</f>
        <v>#VALUE!</v>
      </c>
      <c r="F135" s="67" t="e">
        <f>IF(ISERROR(TDIST((F133-F129)/F123,F128,1)),1-TDIST((F129-F133)/F123,F128,1),TDIST((F133-F129)/F123,F128,1))*100</f>
        <v>#VALUE!</v>
      </c>
      <c r="G135" s="25"/>
      <c r="H135" s="22"/>
      <c r="I135" s="394" t="s">
        <v>231</v>
      </c>
      <c r="J135" s="427" t="str">
        <f>"substantially positive (+ive) or "&amp;IF($C$27&gt;0,"harmful","beneficial")</f>
        <v>substantially positive (+ive) or beneficial</v>
      </c>
      <c r="K135" s="67" t="e">
        <f>IF(ISERROR(TDIST((K133-K129)/K123,K128,1)),1-TDIST((K129-K133)/K123,K128,1),TDIST((K133-K129)/K123,K128,1))*100</f>
        <v>#VALUE!</v>
      </c>
      <c r="L135" s="67" t="e">
        <f>IF(ISERROR(TDIST((L133-L129)/L123,L128,1)),1-TDIST((L129-L133)/L123,L128,1),TDIST((L133-L129)/L123,L128,1))*100</f>
        <v>#VALUE!</v>
      </c>
      <c r="M135" s="67" t="e">
        <f>IF(ISERROR(TDIST((M133-M129)/M123,M128,1)),1-TDIST((M129-M133)/M123,M128,1),TDIST((M133-M129)/M123,M128,1))*100</f>
        <v>#VALUE!</v>
      </c>
      <c r="N135" s="67" t="e">
        <f>IF(ISERROR(TDIST((N133-N129)/N123,N128,1)),1-TDIST((N129-N133)/N123,N128,1),TDIST((N133-N129)/N123,N128,1))*100</f>
        <v>#VALUE!</v>
      </c>
      <c r="O135" s="67" t="e">
        <f>IF(ISERROR(TDIST((O133-O129)/O123,O128,1)),1-TDIST((O129-O133)/O123,O128,1),TDIST((O133-O129)/O123,O128,1))*100</f>
        <v>#DIV/0!</v>
      </c>
      <c r="R135" s="394" t="s">
        <v>231</v>
      </c>
      <c r="S135" s="427" t="str">
        <f>"substantially positive (+ive) or "&amp;IF($C$28&gt;0,"harmful","beneficial")</f>
        <v>substantially positive (+ive) or beneficial</v>
      </c>
      <c r="T135" s="125"/>
      <c r="U135" s="67" t="e">
        <f>IF(ISERROR(TDIST((100*LN(1+U133/100)-U$117)/U$123,U128,1)),1-TDIST((U$117-100*LN(1+U133/100))/U$123,U128,1),TDIST((100*LN(1+U133/100)-U$117)/U$123,U128,1))*100</f>
        <v>#VALUE!</v>
      </c>
      <c r="V135" s="67" t="e">
        <f>IF(ISERROR(TDIST((100*LN(1+V133/100)-V$117)/V$123,V128,1)),1-TDIST((V$117-100*LN(1+V133/100))/V$123,V128,1),TDIST((100*LN(1+V133/100)-V$117)/V$123,V128,1))*100</f>
        <v>#VALUE!</v>
      </c>
      <c r="Y135" s="394" t="s">
        <v>231</v>
      </c>
      <c r="Z135" s="427" t="str">
        <f>"substantially positive (+ive) or "&amp;IF($C$28&gt;0,"harmful","beneficial")</f>
        <v>substantially positive (+ive) or beneficial</v>
      </c>
      <c r="AA135" s="67" t="e">
        <f>IF(ISERROR(TDIST((100*LN(1+AA133/100)-AA$117)/AA$123,AA128,1)),1-TDIST((AA$117-100*LN(1+AA133/100))/AA$123,AA128,1),TDIST((100*LN(1+AA133/100)-AA$117)/AA$123,AA128,1))*100</f>
        <v>#VALUE!</v>
      </c>
      <c r="AB135" s="67" t="e">
        <f>IF(ISERROR(TDIST((100*LN(1+AB133/100)-AB$117)/AB$123,AB128,1)),1-TDIST((AB$117-100*LN(1+AB133/100))/AB$123,AB128,1),TDIST((100*LN(1+AB133/100)-AB$117)/AB$123,AB128,1))*100</f>
        <v>#VALUE!</v>
      </c>
      <c r="AC135" s="67" t="e">
        <f>IF(ISERROR(TDIST((100*LN(1+AC133/100)-AC$117)/AC$123,AC128,1)),1-TDIST((AC$117-100*LN(1+AC133/100))/AC$123,AC128,1),TDIST((100*LN(1+AC133/100)-AC$117)/AC$123,AC128,1))*100</f>
        <v>#VALUE!</v>
      </c>
      <c r="AD135" s="67" t="e">
        <f>IF(ISERROR(TDIST((100*LN(1+AD133/100)-AD$117)/AD$123,AD128,1)),1-TDIST((AD$117-100*LN(1+AD133/100))/AD$123,AD128,1),TDIST((100*LN(1+AD133/100)-AD$117)/AD$123,AD128,1))*100</f>
        <v>#VALUE!</v>
      </c>
      <c r="AE135" s="67" t="e">
        <f>IF(ISERROR(TDIST((100*LN(1+AE133/100)-AE$117)/AE$123,AE128,1)),1-TDIST((AE$117-100*LN(1+AE133/100))/AE$123,AE128,1),TDIST((100*LN(1+AE133/100)-AE$117)/AE$123,AE128,1))*100</f>
        <v>#DIV/0!</v>
      </c>
    </row>
    <row r="136" spans="2:31" s="50" customFormat="1" ht="30.75" customHeight="1" x14ac:dyDescent="0.25">
      <c r="B136" s="395"/>
      <c r="C136" s="428"/>
      <c r="D136" s="19" t="e">
        <f>IF(D135&lt;0.5,"most unlikely",IF(D135&lt;5,"very unlikely",IF(D135&lt;25,"unlikely",IF(D135&lt;75,"possibly",IF(D135&lt;95,"likely",IF(D135&lt;99.5,"very likely","most likely"))))))</f>
        <v>#VALUE!</v>
      </c>
      <c r="E136" s="19" t="e">
        <f>IF(E135&lt;0.5,"most unlikely",IF(E135&lt;5,"very unlikely",IF(E135&lt;25,"unlikely",IF(E135&lt;75,"possibly",IF(E135&lt;95,"likely",IF(E135&lt;99.5,"very likely","most likely"))))))</f>
        <v>#VALUE!</v>
      </c>
      <c r="F136" s="19" t="e">
        <f>IF(F135&lt;0.5,"most unlikely",IF(F135&lt;5,"very unlikely",IF(F135&lt;25,"unlikely",IF(F135&lt;75,"possibly",IF(F135&lt;95,"likely",IF(F135&lt;99.5,"very likely","most likely"))))))</f>
        <v>#VALUE!</v>
      </c>
      <c r="G136" s="78"/>
      <c r="H136" s="79"/>
      <c r="I136" s="395"/>
      <c r="J136" s="428"/>
      <c r="K136" s="19" t="e">
        <f>IF(K135&lt;0.5,"most unlikely",IF(K135&lt;5,"very unlikely",IF(K135&lt;25,"unlikely",IF(K135&lt;75,"possibly",IF(K135&lt;95,"likely",IF(K135&lt;99.5,"very likely","most likely"))))))</f>
        <v>#VALUE!</v>
      </c>
      <c r="L136" s="19" t="e">
        <f>IF(L135&lt;0.5,"most unlikely",IF(L135&lt;5,"very unlikely",IF(L135&lt;25,"unlikely",IF(L135&lt;75,"possibly",IF(L135&lt;95,"likely",IF(L135&lt;99.5,"very likely","most likely"))))))</f>
        <v>#VALUE!</v>
      </c>
      <c r="M136" s="19" t="e">
        <f>IF(M135&lt;0.5,"most unlikely",IF(M135&lt;5,"very unlikely",IF(M135&lt;25,"unlikely",IF(M135&lt;75,"possibly",IF(M135&lt;95,"likely",IF(M135&lt;99.5,"very likely","most likely"))))))</f>
        <v>#VALUE!</v>
      </c>
      <c r="N136" s="19" t="e">
        <f>IF(N135&lt;0.5,"most unlikely",IF(N135&lt;5,"very unlikely",IF(N135&lt;25,"unlikely",IF(N135&lt;75,"possibly",IF(N135&lt;95,"likely",IF(N135&lt;99.5,"very likely","most likely"))))))</f>
        <v>#VALUE!</v>
      </c>
      <c r="O136" s="19" t="e">
        <f>IF(O135&lt;0.5,"most unlikely",IF(O135&lt;5,"very unlikely",IF(O135&lt;25,"unlikely",IF(O135&lt;75,"possibly",IF(O135&lt;95,"likely",IF(O135&lt;99.5,"very likely","most likely"))))))</f>
        <v>#DIV/0!</v>
      </c>
      <c r="R136" s="395"/>
      <c r="S136" s="428"/>
      <c r="T136" s="124"/>
      <c r="U136" s="19" t="e">
        <f>IF(U135&lt;0.5,"most unlikely",IF(U135&lt;5,"very unlikely",IF(U135&lt;25,"unlikely",IF(U135&lt;75,"possibly",IF(U135&lt;95,"likely",IF(U135&lt;99.5,"very likely","most likely"))))))</f>
        <v>#VALUE!</v>
      </c>
      <c r="V136" s="19" t="e">
        <f>IF(V135&lt;0.5,"most unlikely",IF(V135&lt;5,"very unlikely",IF(V135&lt;25,"unlikely",IF(V135&lt;75,"possibly",IF(V135&lt;95,"likely",IF(V135&lt;99.5,"very likely","most likely"))))))</f>
        <v>#VALUE!</v>
      </c>
      <c r="Y136" s="395"/>
      <c r="Z136" s="428"/>
      <c r="AA136" s="19" t="e">
        <f>IF(AA135&lt;0.5,"most unlikely",IF(AA135&lt;5,"very unlikely",IF(AA135&lt;25,"unlikely",IF(AA135&lt;75,"possibly",IF(AA135&lt;95,"likely",IF(AA135&lt;99.5,"very likely","most likely"))))))</f>
        <v>#VALUE!</v>
      </c>
      <c r="AB136" s="19" t="e">
        <f>IF(AB135&lt;0.5,"most unlikely",IF(AB135&lt;5,"very unlikely",IF(AB135&lt;25,"unlikely",IF(AB135&lt;75,"possibly",IF(AB135&lt;95,"likely",IF(AB135&lt;99.5,"very likely","most likely"))))))</f>
        <v>#VALUE!</v>
      </c>
      <c r="AC136" s="19" t="e">
        <f>IF(AC135&lt;0.5,"most unlikely",IF(AC135&lt;5,"very unlikely",IF(AC135&lt;25,"unlikely",IF(AC135&lt;75,"possibly",IF(AC135&lt;95,"likely",IF(AC135&lt;99.5,"very likely","most likely"))))))</f>
        <v>#VALUE!</v>
      </c>
      <c r="AD136" s="19" t="e">
        <f>IF(AD135&lt;0.5,"most unlikely",IF(AD135&lt;5,"very unlikely",IF(AD135&lt;25,"unlikely",IF(AD135&lt;75,"possibly",IF(AD135&lt;95,"likely",IF(AD135&lt;99.5,"very likely","most likely"))))))</f>
        <v>#VALUE!</v>
      </c>
      <c r="AE136" s="19" t="e">
        <f>IF(AE135&lt;0.5,"most unlikely",IF(AE135&lt;5,"very unlikely",IF(AE135&lt;25,"unlikely",IF(AE135&lt;75,"possibly",IF(AE135&lt;95,"likely",IF(AE135&lt;99.5,"very likely","most likely"))))))</f>
        <v>#DIV/0!</v>
      </c>
    </row>
    <row r="137" spans="2:31" s="50" customFormat="1" x14ac:dyDescent="0.25">
      <c r="B137" s="395"/>
      <c r="C137" s="386" t="s">
        <v>12</v>
      </c>
      <c r="D137" s="67" t="e">
        <f>100-D135-D139</f>
        <v>#VALUE!</v>
      </c>
      <c r="E137" s="67" t="e">
        <f>100-E135-E139</f>
        <v>#VALUE!</v>
      </c>
      <c r="F137" s="67" t="e">
        <f>100-F135-F139</f>
        <v>#VALUE!</v>
      </c>
      <c r="G137" s="22"/>
      <c r="H137" s="22"/>
      <c r="I137" s="395"/>
      <c r="J137" s="386" t="s">
        <v>12</v>
      </c>
      <c r="K137" s="67" t="e">
        <f>100-K135-K139</f>
        <v>#VALUE!</v>
      </c>
      <c r="L137" s="67" t="e">
        <f>100-L135-L139</f>
        <v>#VALUE!</v>
      </c>
      <c r="M137" s="67" t="e">
        <f>100-M135-M139</f>
        <v>#VALUE!</v>
      </c>
      <c r="N137" s="67" t="e">
        <f>100-N135-N139</f>
        <v>#VALUE!</v>
      </c>
      <c r="O137" s="67" t="e">
        <f>100-O135-O139</f>
        <v>#DIV/0!</v>
      </c>
      <c r="R137" s="395"/>
      <c r="S137" s="386" t="s">
        <v>12</v>
      </c>
      <c r="T137" s="126"/>
      <c r="U137" s="67" t="e">
        <f>100-U135-U139</f>
        <v>#VALUE!</v>
      </c>
      <c r="V137" s="67" t="e">
        <f>100-V135-V139</f>
        <v>#VALUE!</v>
      </c>
      <c r="Y137" s="395"/>
      <c r="Z137" s="386" t="s">
        <v>12</v>
      </c>
      <c r="AA137" s="67" t="e">
        <f>100-AA135-AA139</f>
        <v>#VALUE!</v>
      </c>
      <c r="AB137" s="67" t="e">
        <f>100-AB135-AB139</f>
        <v>#VALUE!</v>
      </c>
      <c r="AC137" s="67" t="e">
        <f>100-AC135-AC139</f>
        <v>#VALUE!</v>
      </c>
      <c r="AD137" s="67" t="e">
        <f>100-AD135-AD139</f>
        <v>#VALUE!</v>
      </c>
      <c r="AE137" s="67" t="e">
        <f>AE253</f>
        <v>#DIV/0!</v>
      </c>
    </row>
    <row r="138" spans="2:31" s="50" customFormat="1" ht="28.5" customHeight="1" x14ac:dyDescent="0.25">
      <c r="B138" s="395"/>
      <c r="C138" s="387"/>
      <c r="D138" s="19" t="e">
        <f>IF(D137&lt;0.5,"most unlikely",IF(D137&lt;5,"very unlikely",IF(D137&lt;25,"unlikely",IF(D137&lt;75,"possibly",IF(D137&lt;95,"likely",IF(D137&lt;99.5,"very likely","most likely"))))))</f>
        <v>#VALUE!</v>
      </c>
      <c r="E138" s="19" t="e">
        <f>IF(E137&lt;0.5,"most unlikely",IF(E137&lt;5,"very unlikely",IF(E137&lt;25,"unlikely",IF(E137&lt;75,"possibly",IF(E137&lt;95,"likely",IF(E137&lt;99.5,"very likely","most likely"))))))</f>
        <v>#VALUE!</v>
      </c>
      <c r="F138" s="19" t="e">
        <f>IF(F137&lt;0.5,"most unlikely",IF(F137&lt;5,"very unlikely",IF(F137&lt;25,"unlikely",IF(F137&lt;75,"possibly",IF(F137&lt;95,"likely",IF(F137&lt;99.5,"very likely","most likely"))))))</f>
        <v>#VALUE!</v>
      </c>
      <c r="G138" s="27"/>
      <c r="H138" s="27"/>
      <c r="I138" s="395"/>
      <c r="J138" s="387"/>
      <c r="K138" s="19" t="e">
        <f>IF(K137&lt;0.5,"most unlikely",IF(K137&lt;5,"very unlikely",IF(K137&lt;25,"unlikely",IF(K137&lt;75,"possibly",IF(K137&lt;95,"likely",IF(K137&lt;99.5,"very likely","most likely"))))))</f>
        <v>#VALUE!</v>
      </c>
      <c r="L138" s="19" t="e">
        <f>IF(L137&lt;0.5,"most unlikely",IF(L137&lt;5,"very unlikely",IF(L137&lt;25,"unlikely",IF(L137&lt;75,"possibly",IF(L137&lt;95,"likely",IF(L137&lt;99.5,"very likely","most likely"))))))</f>
        <v>#VALUE!</v>
      </c>
      <c r="M138" s="19" t="e">
        <f>IF(M137&lt;0.5,"most unlikely",IF(M137&lt;5,"very unlikely",IF(M137&lt;25,"unlikely",IF(M137&lt;75,"possibly",IF(M137&lt;95,"likely",IF(M137&lt;99.5,"very likely","most likely"))))))</f>
        <v>#VALUE!</v>
      </c>
      <c r="N138" s="19" t="e">
        <f>IF(N137&lt;0.5,"most unlikely",IF(N137&lt;5,"very unlikely",IF(N137&lt;25,"unlikely",IF(N137&lt;75,"possibly",IF(N137&lt;95,"likely",IF(N137&lt;99.5,"very likely","most likely"))))))</f>
        <v>#VALUE!</v>
      </c>
      <c r="O138" s="19" t="e">
        <f>IF(O137&lt;0.5,"most unlikely",IF(O137&lt;5,"very unlikely",IF(O137&lt;25,"unlikely",IF(O137&lt;75,"possibly",IF(O137&lt;95,"likely",IF(O137&lt;99.5,"very likely","most likely"))))))</f>
        <v>#DIV/0!</v>
      </c>
      <c r="R138" s="395"/>
      <c r="S138" s="387"/>
      <c r="T138" s="127"/>
      <c r="U138" s="19" t="e">
        <f>IF(U137&lt;0.5,"most unlikely",IF(U137&lt;5,"very unlikely",IF(U137&lt;25,"unlikely",IF(U137&lt;75,"possibly",IF(U137&lt;95,"likely",IF(U137&lt;99.5,"very likely","most likely"))))))</f>
        <v>#VALUE!</v>
      </c>
      <c r="V138" s="19" t="e">
        <f>IF(V137&lt;0.5,"most unlikely",IF(V137&lt;5,"very unlikely",IF(V137&lt;25,"unlikely",IF(V137&lt;75,"possibly",IF(V137&lt;95,"likely",IF(V137&lt;99.5,"very likely","most likely"))))))</f>
        <v>#VALUE!</v>
      </c>
      <c r="Y138" s="395"/>
      <c r="Z138" s="387"/>
      <c r="AA138" s="19" t="e">
        <f>IF(AA137&lt;0.5,"most unlikely",IF(AA137&lt;5,"very unlikely",IF(AA137&lt;25,"unlikely",IF(AA137&lt;75,"possibly",IF(AA137&lt;95,"likely",IF(AA137&lt;99.5,"very likely","most likely"))))))</f>
        <v>#VALUE!</v>
      </c>
      <c r="AB138" s="19" t="e">
        <f>IF(AB137&lt;0.5,"most unlikely",IF(AB137&lt;5,"very unlikely",IF(AB137&lt;25,"unlikely",IF(AB137&lt;75,"possibly",IF(AB137&lt;95,"likely",IF(AB137&lt;99.5,"very likely","most likely"))))))</f>
        <v>#VALUE!</v>
      </c>
      <c r="AC138" s="19" t="e">
        <f>IF(AC137&lt;0.5,"most unlikely",IF(AC137&lt;5,"very unlikely",IF(AC137&lt;25,"unlikely",IF(AC137&lt;75,"possibly",IF(AC137&lt;95,"likely",IF(AC137&lt;99.5,"very likely","most likely"))))))</f>
        <v>#VALUE!</v>
      </c>
      <c r="AD138" s="19" t="e">
        <f>IF(AD137&lt;0.5,"most unlikely",IF(AD137&lt;5,"very unlikely",IF(AD137&lt;25,"unlikely",IF(AD137&lt;75,"possibly",IF(AD137&lt;95,"likely",IF(AD137&lt;99.5,"very likely","most likely"))))))</f>
        <v>#VALUE!</v>
      </c>
      <c r="AE138" s="19" t="e">
        <f>IF(AE137&lt;0.5,"most unlikely",IF(AE137&lt;5,"very unlikely",IF(AE137&lt;25,"unlikely",IF(AE137&lt;75,"possibly",IF(AE137&lt;95,"likely",IF(AE137&lt;99.5,"very likely","most likely"))))))</f>
        <v>#DIV/0!</v>
      </c>
    </row>
    <row r="139" spans="2:31" s="50" customFormat="1" ht="13.2" customHeight="1" x14ac:dyDescent="0.25">
      <c r="B139" s="395"/>
      <c r="C139" s="396" t="str">
        <f>"substantially negative (-ive) or "&amp;IF($C$27&lt;0,"harmful","beneficial")</f>
        <v>substantially negative (-ive) or beneficial</v>
      </c>
      <c r="D139" s="67" t="e">
        <f>IF(ISERROR(TDIST((D134-D129)/D123,D128,1)),TDIST((D129-D134)/D123,D128,1),1-TDIST((D134-D129)/D123,D128,1))*100</f>
        <v>#VALUE!</v>
      </c>
      <c r="E139" s="67" t="e">
        <f>IF(ISERROR(TDIST((E134-E129)/E123,E128,1)),TDIST((E129-E134)/E123,E128,1),1-TDIST((E134-E129)/E123,E128,1))*100</f>
        <v>#VALUE!</v>
      </c>
      <c r="F139" s="67" t="e">
        <f>IF(ISERROR(TDIST((F134-F129)/F123,F128,1)),TDIST((F129-F134)/F123,F128,1),1-TDIST((F134-F129)/F123,F128,1))*100</f>
        <v>#VALUE!</v>
      </c>
      <c r="G139" s="80"/>
      <c r="H139" s="80"/>
      <c r="I139" s="395"/>
      <c r="J139" s="396" t="str">
        <f>"substantially negative (-ive) or "&amp;IF($C$27&lt;0,"harmful","beneficial")</f>
        <v>substantially negative (-ive) or beneficial</v>
      </c>
      <c r="K139" s="67" t="e">
        <f>IF(ISERROR(TDIST((K134-K129)/K123,K128,1)),TDIST((K129-K134)/K123,K128,1),1-TDIST((K134-K129)/K123,K128,1))*100</f>
        <v>#VALUE!</v>
      </c>
      <c r="L139" s="67" t="e">
        <f>IF(ISERROR(TDIST((L134-L129)/L123,L128,1)),TDIST((L129-L134)/L123,L128,1),1-TDIST((L134-L129)/L123,L128,1))*100</f>
        <v>#VALUE!</v>
      </c>
      <c r="M139" s="67" t="e">
        <f>IF(ISERROR(TDIST((M134-M129)/M123,M128,1)),TDIST((M129-M134)/M123,M128,1),1-TDIST((M134-M129)/M123,M128,1))*100</f>
        <v>#VALUE!</v>
      </c>
      <c r="N139" s="67" t="e">
        <f>IF(ISERROR(TDIST((N134-N129)/N123,N128,1)),TDIST((N129-N134)/N123,N128,1),1-TDIST((N134-N129)/N123,N128,1))*100</f>
        <v>#VALUE!</v>
      </c>
      <c r="O139" s="67" t="e">
        <f>IF(ISERROR(TDIST((O134-O129)/O123,O128,1)),TDIST((O129-O134)/O123,O128,1),1-TDIST((O134-O129)/O123,O128,1))*100</f>
        <v>#DIV/0!</v>
      </c>
      <c r="R139" s="395"/>
      <c r="S139" s="396" t="str">
        <f>"substantially negative (-ive) or "&amp;IF($C$28&lt;0,"harmful","beneficial")</f>
        <v>substantially negative (-ive) or beneficial</v>
      </c>
      <c r="T139" s="128"/>
      <c r="U139" s="67" t="e">
        <f>IF(ISERROR(TDIST((100*LN(1+U134/100)-U$117)/U$123,U128,1)),TDIST((U$117-100*LN(1+U134/100))/U$123,U128,1),1-TDIST((100*LN(1+U134/100)-U$117)/U$123,U128,1))*100</f>
        <v>#VALUE!</v>
      </c>
      <c r="V139" s="67" t="e">
        <f>IF(ISERROR(TDIST((100*LN(1+V134/100)-V$117)/V$123,V128,1)),TDIST((V$117-100*LN(1+V134/100))/V$123,V128,1),1-TDIST((100*LN(1+V134/100)-V$117)/V$123,V128,1))*100</f>
        <v>#VALUE!</v>
      </c>
      <c r="Y139" s="395"/>
      <c r="Z139" s="396" t="str">
        <f>"substantially negative (-ive) or "&amp;IF($C$28&lt;0,"harmful","beneficial")</f>
        <v>substantially negative (-ive) or beneficial</v>
      </c>
      <c r="AA139" s="67" t="e">
        <f>IF(ISERROR(TDIST((100*LN(1+AA134/100)-AA$117)/AA$123,AA128,1)),TDIST((AA$117-100*LN(1+AA134/100))/AA$123,AA128,1),1-TDIST((100*LN(1+AA134/100)-AA$117)/AA$123,AA128,1))*100</f>
        <v>#VALUE!</v>
      </c>
      <c r="AB139" s="67" t="e">
        <f>IF(ISERROR(TDIST((100*LN(1+AB134/100)-AB$117)/AB$123,AB128,1)),TDIST((AB$117-100*LN(1+AB134/100))/AB$123,AB128,1),1-TDIST((100*LN(1+AB134/100)-AB$117)/AB$123,AB128,1))*100</f>
        <v>#VALUE!</v>
      </c>
      <c r="AC139" s="67" t="e">
        <f>IF(ISERROR(TDIST((100*LN(1+AC134/100)-AC$117)/AC$123,AC128,1)),TDIST((AC$117-100*LN(1+AC134/100))/AC$123,AC128,1),1-TDIST((100*LN(1+AC134/100)-AC$117)/AC$123,AC128,1))*100</f>
        <v>#VALUE!</v>
      </c>
      <c r="AD139" s="67" t="e">
        <f>IF(ISERROR(TDIST((100*LN(1+AD134/100)-AD$117)/AD$123,AD128,1)),TDIST((AD$117-100*LN(1+AD134/100))/AD$123,AD128,1),1-TDIST((100*LN(1+AD134/100)-AD$117)/AD$123,AD128,1))*100</f>
        <v>#VALUE!</v>
      </c>
      <c r="AE139" s="67" t="e">
        <f>IF(ISERROR(TDIST((100*LN(1+AE134/100)-AE$117)/AE$123,AE128,1)),TDIST((AE$117-100*LN(1+AE134/100))/AE$123,AE128,1),1-TDIST((100*LN(1+AE134/100)-AE$117)/AE$123,AE128,1))*100</f>
        <v>#DIV/0!</v>
      </c>
    </row>
    <row r="140" spans="2:31" s="50" customFormat="1" ht="28.5" customHeight="1" x14ac:dyDescent="0.25">
      <c r="B140" s="395"/>
      <c r="C140" s="397"/>
      <c r="D140" s="19" t="e">
        <f>IF(D139&lt;0.5,"most unlikely",IF(D139&lt;5,"very unlikely",IF(D139&lt;25,"unlikely",IF(D139&lt;75,"possibly",IF(D139&lt;95,"likely",IF(D139&lt;99.5,"very likely","most likely"))))))</f>
        <v>#VALUE!</v>
      </c>
      <c r="E140" s="19" t="e">
        <f>IF(E139&lt;0.5,"most unlikely",IF(E139&lt;5,"very unlikely",IF(E139&lt;25,"unlikely",IF(E139&lt;75,"possibly",IF(E139&lt;95,"likely",IF(E139&lt;99.5,"very likely","most likely"))))))</f>
        <v>#VALUE!</v>
      </c>
      <c r="F140" s="19" t="e">
        <f>IF(F139&lt;0.5,"most unlikely",IF(F139&lt;5,"very unlikely",IF(F139&lt;25,"unlikely",IF(F139&lt;75,"possibly",IF(F139&lt;95,"likely",IF(F139&lt;99.5,"very likely","most likely"))))))</f>
        <v>#VALUE!</v>
      </c>
      <c r="G140" s="22"/>
      <c r="H140" s="22"/>
      <c r="I140" s="395"/>
      <c r="J140" s="397"/>
      <c r="K140" s="19" t="e">
        <f>IF(K139&lt;0.5,"most unlikely",IF(K139&lt;5,"very unlikely",IF(K139&lt;25,"unlikely",IF(K139&lt;75,"possibly",IF(K139&lt;95,"likely",IF(K139&lt;99.5,"very likely","most likely"))))))</f>
        <v>#VALUE!</v>
      </c>
      <c r="L140" s="19" t="e">
        <f>IF(L139&lt;0.5,"most unlikely",IF(L139&lt;5,"very unlikely",IF(L139&lt;25,"unlikely",IF(L139&lt;75,"possibly",IF(L139&lt;95,"likely",IF(L139&lt;99.5,"very likely","most likely"))))))</f>
        <v>#VALUE!</v>
      </c>
      <c r="M140" s="19" t="e">
        <f>IF(M139&lt;0.5,"most unlikely",IF(M139&lt;5,"very unlikely",IF(M139&lt;25,"unlikely",IF(M139&lt;75,"possibly",IF(M139&lt;95,"likely",IF(M139&lt;99.5,"very likely","most likely"))))))</f>
        <v>#VALUE!</v>
      </c>
      <c r="N140" s="19" t="e">
        <f>IF(N139&lt;0.5,"most unlikely",IF(N139&lt;5,"very unlikely",IF(N139&lt;25,"unlikely",IF(N139&lt;75,"possibly",IF(N139&lt;95,"likely",IF(N139&lt;99.5,"very likely","most likely"))))))</f>
        <v>#VALUE!</v>
      </c>
      <c r="O140" s="19" t="e">
        <f>IF(O139&lt;0.5,"most unlikely",IF(O139&lt;5,"very unlikely",IF(O139&lt;25,"unlikely",IF(O139&lt;75,"possibly",IF(O139&lt;95,"likely",IF(O139&lt;99.5,"very likely","most likely"))))))</f>
        <v>#DIV/0!</v>
      </c>
      <c r="R140" s="395"/>
      <c r="S140" s="397"/>
      <c r="T140" s="129"/>
      <c r="U140" s="19" t="e">
        <f>IF(U139&lt;0.5,"most unlikely",IF(U139&lt;5,"very unlikely",IF(U139&lt;25,"unlikely",IF(U139&lt;75,"possibly",IF(U139&lt;95,"likely",IF(U139&lt;99.5,"very likely","most likely"))))))</f>
        <v>#VALUE!</v>
      </c>
      <c r="V140" s="19" t="e">
        <f>IF(V139&lt;0.5,"most unlikely",IF(V139&lt;5,"very unlikely",IF(V139&lt;25,"unlikely",IF(V139&lt;75,"possibly",IF(V139&lt;95,"likely",IF(V139&lt;99.5,"very likely","most likely"))))))</f>
        <v>#VALUE!</v>
      </c>
      <c r="Y140" s="395"/>
      <c r="Z140" s="397"/>
      <c r="AA140" s="19" t="e">
        <f>IF(AA139&lt;0.5,"most unlikely",IF(AA139&lt;5,"very unlikely",IF(AA139&lt;25,"unlikely",IF(AA139&lt;75,"possibly",IF(AA139&lt;95,"likely",IF(AA139&lt;99.5,"very likely","most likely"))))))</f>
        <v>#VALUE!</v>
      </c>
      <c r="AB140" s="19" t="e">
        <f>IF(AB139&lt;0.5,"most unlikely",IF(AB139&lt;5,"very unlikely",IF(AB139&lt;25,"unlikely",IF(AB139&lt;75,"possibly",IF(AB139&lt;95,"likely",IF(AB139&lt;99.5,"very likely","most likely"))))))</f>
        <v>#VALUE!</v>
      </c>
      <c r="AC140" s="19" t="e">
        <f>IF(AC139&lt;0.5,"most unlikely",IF(AC139&lt;5,"very unlikely",IF(AC139&lt;25,"unlikely",IF(AC139&lt;75,"possibly",IF(AC139&lt;95,"likely",IF(AC139&lt;99.5,"very likely","most likely"))))))</f>
        <v>#VALUE!</v>
      </c>
      <c r="AD140" s="19" t="e">
        <f>IF(AD139&lt;0.5,"most unlikely",IF(AD139&lt;5,"very unlikely",IF(AD139&lt;25,"unlikely",IF(AD139&lt;75,"possibly",IF(AD139&lt;95,"likely",IF(AD139&lt;99.5,"very likely","most likely"))))))</f>
        <v>#VALUE!</v>
      </c>
      <c r="AE140" s="19" t="e">
        <f>IF(AE139&lt;0.5,"most unlikely",IF(AE139&lt;5,"very unlikely",IF(AE139&lt;25,"unlikely",IF(AE139&lt;75,"possibly",IF(AE139&lt;95,"likely",IF(AE139&lt;99.5,"very likely","most likely"))))))</f>
        <v>#DIV/0!</v>
      </c>
    </row>
    <row r="141" spans="2:31" ht="33.9" customHeight="1" x14ac:dyDescent="0.25">
      <c r="B141" s="382" t="str">
        <f>"Non-clinical inference, based on threshold chances of "&amp;(100-$E$33)/2&amp;"% for substantial magnitudes"</f>
        <v>Non-clinical inference, based on threshold chances of 5% for substantial magnitudes</v>
      </c>
      <c r="C141" s="383"/>
      <c r="D141" s="278" t="e">
        <f>IF(MIN(D135,D139)&gt;(100-D127)/2,"unclear; get more data",IF(D137&gt;75,D138&amp;" trivial",IF(D135&gt;5,D136&amp;" +ive",D140&amp;" –ive")))</f>
        <v>#VALUE!</v>
      </c>
      <c r="E141" s="278" t="e">
        <f>IF(MIN(E135,E139)&gt;(100-E127)/2,"unclear; get more data",IF(E137&gt;75,E138&amp;" trivial",IF(E135&gt;5,E136&amp;" +ive",E140&amp;" –ive")))</f>
        <v>#VALUE!</v>
      </c>
      <c r="F141" s="278" t="e">
        <f>IF(MIN(F135,F139)&gt;(100-F127)/2,"unclear; get more data",IF(F137&gt;75,F138&amp;" trivial",IF(F135&gt;5,F136&amp;" +ive",F140&amp;" –ive")))</f>
        <v>#VALUE!</v>
      </c>
      <c r="G141" s="22"/>
      <c r="H141" s="22"/>
      <c r="I141" s="382" t="str">
        <f>"Non-clinical inference, based on threshold chances of "&amp;(100-$E$33)/2&amp;"% for substantial magnitudes"</f>
        <v>Non-clinical inference, based on threshold chances of 5% for substantial magnitudes</v>
      </c>
      <c r="J141" s="383"/>
      <c r="K141" s="278" t="e">
        <f>IF(MIN(K135,K139)&gt;(100-K127)/2,"unclear; get more data",IF(K137&gt;75,K138&amp;" trivial",IF(K135&gt;5,K136&amp;" +ive",K140&amp;" –ive")))</f>
        <v>#VALUE!</v>
      </c>
      <c r="L141" s="278" t="e">
        <f>IF(MIN(L135,L139)&gt;(100-L127)/2,"unclear; get more data",IF(L137&gt;75,L138&amp;" trivial",IF(L135&gt;5,L136&amp;" +ive",L140&amp;" –ive")))</f>
        <v>#VALUE!</v>
      </c>
      <c r="M141" s="278" t="e">
        <f>IF(MIN(M135,M139)&gt;(100-M127)/2,"unclear; get more data",IF(M137&gt;75,M138&amp;" trivial",IF(M135&gt;5,M136&amp;" +ive",M140&amp;" –ive")))</f>
        <v>#VALUE!</v>
      </c>
      <c r="N141" s="278" t="e">
        <f>IF(MIN(N135,N139)&gt;(100-N127)/2,"unclear; get more data",IF(N137&gt;75,N138&amp;" trivial",IF(N135&gt;5,N136&amp;" +ive",N140&amp;" –ive")))</f>
        <v>#VALUE!</v>
      </c>
      <c r="O141" s="278" t="e">
        <f>IF(MIN(O135,O139)&gt;(100-O127)/2,"unclear; get more data",IF(O137&gt;75,O138&amp;" trivial",IF(O135&gt;5,O136&amp;" +ive",O140&amp;" –ive")))</f>
        <v>#DIV/0!</v>
      </c>
      <c r="R141" s="382" t="str">
        <f>"Non-clinical inference, based on threshold chances of "&amp;(100-$E$33)/2&amp;"% for substantial magnitudes"</f>
        <v>Non-clinical inference, based on threshold chances of 5% for substantial magnitudes</v>
      </c>
      <c r="S141" s="383"/>
      <c r="T141" s="253"/>
      <c r="U141" s="278" t="e">
        <f>IF(MIN(U135,U139)&gt;(100-U127)/2,"unclear; get more data",IF(U137&gt;75,U138&amp;" trivial",IF(U135&gt;5,U136&amp;" +ive",U140&amp;" –ive")))</f>
        <v>#VALUE!</v>
      </c>
      <c r="V141" s="278" t="e">
        <f>IF(MIN(V135,V139)&gt;(100-V127)/2,"unclear; get more data",IF(V137&gt;75,V138&amp;" trivial",IF(V135&gt;5,V136&amp;" +ive",V140&amp;" –ive")))</f>
        <v>#VALUE!</v>
      </c>
      <c r="W141" s="22"/>
      <c r="X141" s="22"/>
      <c r="Y141" s="382" t="str">
        <f>"Non-clinical inference, based on threshold chances of "&amp;(100-$E$33)/2&amp;"% for substantial magnitudes"</f>
        <v>Non-clinical inference, based on threshold chances of 5% for substantial magnitudes</v>
      </c>
      <c r="Z141" s="383"/>
      <c r="AA141" s="278" t="e">
        <f>IF(MIN(AA135,AA139)&gt;(100-AA127)/2,"unclear; get more data",IF(AA137&gt;75,AA138&amp;" trivial",IF(AA135&gt;5,AA136&amp;" +ive",AA140&amp;" –ive")))</f>
        <v>#VALUE!</v>
      </c>
      <c r="AB141" s="278" t="e">
        <f>IF(MIN(AB135,AB139)&gt;(100-AB127)/2,"unclear; get more data",IF(AB137&gt;75,AB138&amp;" trivial",IF(AB135&gt;5,AB136&amp;" +ive",AB140&amp;" –ive")))</f>
        <v>#VALUE!</v>
      </c>
      <c r="AC141" s="278" t="e">
        <f>IF(MIN(AC135,AC139)&gt;(100-AC127)/2,"unclear; get more data",IF(AC137&gt;75,AC138&amp;" trivial",IF(AC135&gt;5,AC136&amp;" +ive",AC140&amp;" –ive")))</f>
        <v>#VALUE!</v>
      </c>
      <c r="AD141" s="278" t="e">
        <f>IF(MIN(AD135,AD139)&gt;(100-AD127)/2,"unclear; get more data",IF(AD137&gt;75,AD138&amp;" trivial",IF(AD135&gt;5,AD136&amp;" +ive",AD140&amp;" –ive")))</f>
        <v>#VALUE!</v>
      </c>
      <c r="AE141" s="278" t="e">
        <f>IF(MIN(AE135,AE139)&gt;(100-AE127)/2,"unclear; get more data",IF(AE137&gt;75,AE138&amp;" trivial",IF(AE135&gt;5,AE136&amp;" +ive",AE140&amp;" –ive")))</f>
        <v>#DIV/0!</v>
      </c>
    </row>
    <row r="142" spans="2:31" ht="33.9" customHeight="1" x14ac:dyDescent="0.25">
      <c r="B142" s="382"/>
      <c r="C142" s="383"/>
      <c r="D142" s="278"/>
      <c r="E142" s="278"/>
      <c r="F142" s="278"/>
      <c r="G142" s="22"/>
      <c r="H142" s="22"/>
      <c r="I142" s="382" t="str">
        <f>"Clinical inference, based on threshold chances of harm and benefit of "&amp;$E$36&amp;"% and "&amp;$E$37&amp;"%"</f>
        <v>Clinical inference, based on threshold chances of harm and benefit of 0.5% and 25%</v>
      </c>
      <c r="J142" s="383"/>
      <c r="K142" s="278" t="e">
        <f>IF($C$27&gt;0,IF(K139&gt;$E$37,IF(K135&lt;$E$36,K140&amp;" beneficial","unclear; get more data"),IF(K135&gt;25,K136&amp;" harmful",K138&amp;" trivial")),IF(K135&gt;$E$37,IF(K139&lt;$E$36,K136&amp;" beneficial","unclear; get more data"),IF(K139&gt;25,K140&amp;" harmful",K138&amp;" trivial")))</f>
        <v>#VALUE!</v>
      </c>
      <c r="L142" s="278" t="e">
        <f>IF($C$27&gt;0,IF(L139&gt;$E$37,IF(L135&lt;$E$36,L140&amp;" beneficial","unclear; get more data"),IF(L135&gt;25,L136&amp;" harmful",L138&amp;" trivial")),IF(L135&gt;$E$37,IF(L139&lt;$E$36,L136&amp;" beneficial","unclear; get more data"),IF(L139&gt;25,L140&amp;" harmful",L138&amp;" trivial")))</f>
        <v>#VALUE!</v>
      </c>
      <c r="M142" s="278" t="e">
        <f>IF($C$27&gt;0,IF(M139&gt;$E$37,IF(M135&lt;$E$36,M140&amp;" beneficial","unclear; get more data"),IF(M135&gt;25,M136&amp;" harmful",M138&amp;" trivial")),IF(M135&gt;$E$37,IF(M139&lt;$E$36,M136&amp;" beneficial","unclear; get more data"),IF(M139&gt;25,M140&amp;" harmful",M138&amp;" trivial")))</f>
        <v>#VALUE!</v>
      </c>
      <c r="N142" s="278" t="e">
        <f>IF($C$27&gt;0,IF(N139&gt;$E$37,IF(N135&lt;$E$36,N140&amp;" beneficial","unclear; get more data"),IF(N135&gt;25,N136&amp;" harmful",N138&amp;" trivial")),IF(N135&gt;$E$37,IF(N139&lt;$E$36,N136&amp;" beneficial","unclear; get more data"),IF(N139&gt;25,N140&amp;" harmful",N138&amp;" trivial")))</f>
        <v>#VALUE!</v>
      </c>
      <c r="O142" s="278" t="e">
        <f>IF($C$27&gt;0,IF(O139&gt;$E$37,IF(O135&lt;$E$36,O140&amp;" beneficial","unclear; get more data"),IF(O135&gt;25,O136&amp;" harmful",O138&amp;" trivial")),IF(O135&gt;$E$37,IF(O139&lt;$E$36,O136&amp;" beneficial","unclear; get more data"),IF(O139&gt;25,O140&amp;" harmful",O138&amp;" trivial")))</f>
        <v>#DIV/0!</v>
      </c>
      <c r="R142" s="382"/>
      <c r="S142" s="383"/>
      <c r="T142" s="253"/>
      <c r="U142" s="278"/>
      <c r="V142" s="278"/>
      <c r="W142" s="22"/>
      <c r="X142" s="22"/>
      <c r="Y142" s="382" t="str">
        <f>"Clinical inference, based on threshold chances of harm and benefit of "&amp;$E$36&amp;"% and "&amp;$E$37&amp;"%"</f>
        <v>Clinical inference, based on threshold chances of harm and benefit of 0.5% and 25%</v>
      </c>
      <c r="Z142" s="383"/>
      <c r="AA142" s="278" t="e">
        <f>IF($C$28&gt;0,IF(AA139&gt;$E$37,IF(AA135&lt;$E$36,AA140&amp;" beneficial","unclear; get more data"),IF(AA135&gt;25,AA136&amp;" harmful",AA138&amp;" trivial")),IF(AA135&gt;$E$37,IF(AA139&lt;$E$36,AA136&amp;" beneficial","unclear; get more data"),IF(AA139&gt;25,AA140&amp;" harmful",AA138&amp;" trivial")))</f>
        <v>#VALUE!</v>
      </c>
      <c r="AB142" s="278" t="e">
        <f>IF($C$28&gt;0,IF(AB139&gt;$E$37,IF(AB135&lt;$E$36,AB140&amp;" beneficial","unclear; get more data"),IF(AB135&gt;25,AB136&amp;" harmful",AB138&amp;" trivial")),IF(AB135&gt;$E$37,IF(AB139&lt;$E$36,AB136&amp;" beneficial","unclear; get more data"),IF(AB139&gt;25,AB140&amp;" harmful",AB138&amp;" trivial")))</f>
        <v>#VALUE!</v>
      </c>
      <c r="AC142" s="278" t="e">
        <f>IF($C$28&gt;0,IF(AC139&gt;$E$37,IF(AC135&lt;$E$36,AC140&amp;" beneficial","unclear; get more data"),IF(AC135&gt;25,AC136&amp;" harmful",AC138&amp;" trivial")),IF(AC135&gt;$E$37,IF(AC139&lt;$E$36,AC136&amp;" beneficial","unclear; get more data"),IF(AC139&gt;25,AC140&amp;" harmful",AC138&amp;" trivial")))</f>
        <v>#VALUE!</v>
      </c>
      <c r="AD142" s="278" t="e">
        <f>IF($C$28&gt;0,IF(AD139&gt;$E$37,IF(AD135&lt;$E$36,AD140&amp;" beneficial","unclear; get more data"),IF(AD135&gt;25,AD136&amp;" harmful",AD138&amp;" trivial")),IF(AD135&gt;$E$37,IF(AD139&lt;$E$36,AD136&amp;" beneficial","unclear; get more data"),IF(AD139&gt;25,AD140&amp;" harmful",AD138&amp;" trivial")))</f>
        <v>#VALUE!</v>
      </c>
      <c r="AE142" s="278" t="e">
        <f>IF($C$28&gt;0,IF(AE139&gt;$E$37,IF(AE135&lt;$E$36,AE140&amp;" beneficial","unclear; get more data"),IF(AE135&gt;25,AE136&amp;" harmful",AE138&amp;" trivial")),IF(AE135&gt;$E$37,IF(AE139&lt;$E$36,AE136&amp;" beneficial","unclear; get more data"),IF(AE139&gt;25,AE140&amp;" harmful",AE138&amp;" trivial")))</f>
        <v>#DIV/0!</v>
      </c>
    </row>
    <row r="143" spans="2:31" ht="13.2" customHeight="1" x14ac:dyDescent="0.25">
      <c r="B143" s="382"/>
      <c r="C143" s="383"/>
      <c r="D143" s="295"/>
      <c r="E143" s="295"/>
      <c r="F143" s="295"/>
      <c r="G143" s="22"/>
      <c r="H143" s="22"/>
      <c r="I143" s="382" t="s">
        <v>182</v>
      </c>
      <c r="J143" s="383"/>
      <c r="K143" s="295" t="e">
        <f>IF($C$27&gt;0,K139/(100-K139)/(K135/(100-K135)),K135/(100-K135)/(K139/(100-K139)))</f>
        <v>#VALUE!</v>
      </c>
      <c r="L143" s="295" t="e">
        <f>IF($C$27&gt;0,L139/(100-L139)/(L135/(100-L135)),L135/(100-L135)/(L139/(100-L139)))</f>
        <v>#VALUE!</v>
      </c>
      <c r="M143" s="295" t="e">
        <f>IF($C$27&gt;0,M139/(100-M139)/(M135/(100-M135)),M135/(100-M135)/(M139/(100-M139)))</f>
        <v>#VALUE!</v>
      </c>
      <c r="N143" s="295" t="e">
        <f>IF($C$27&gt;0,N139/(100-N139)/(N135/(100-N135)),N135/(100-N135)/(N139/(100-N139)))</f>
        <v>#VALUE!</v>
      </c>
      <c r="O143" s="295" t="e">
        <f>IF($C$27&gt;0,O139/(100-O139)/(O135/(100-O135)),O135/(100-O135)/(O139/(100-O139)))</f>
        <v>#DIV/0!</v>
      </c>
      <c r="R143" s="382"/>
      <c r="S143" s="383"/>
      <c r="T143" s="279"/>
      <c r="U143" s="295"/>
      <c r="V143" s="295"/>
      <c r="W143" s="22"/>
      <c r="X143" s="22"/>
      <c r="Y143" s="382" t="s">
        <v>182</v>
      </c>
      <c r="Z143" s="383"/>
      <c r="AA143" s="295" t="e">
        <f>IF($C$28&gt;0,AA139/(100-AA139)/(AA135/(100-AA135)),AA135/(100-AA135)/(AA139/(100-AA139)))</f>
        <v>#VALUE!</v>
      </c>
      <c r="AB143" s="295" t="e">
        <f>IF($C$28&gt;0,AB139/(100-AB139)/(AB135/(100-AB135)),AB135/(100-AB135)/(AB139/(100-AB139)))</f>
        <v>#VALUE!</v>
      </c>
      <c r="AC143" s="295" t="e">
        <f>IF($C$28&gt;0,AC139/(100-AC139)/(AC135/(100-AC135)),AC135/(100-AC135)/(AC139/(100-AC139)))</f>
        <v>#VALUE!</v>
      </c>
      <c r="AD143" s="295" t="e">
        <f>IF($C$28&gt;0,AD139/(100-AD139)/(AD135/(100-AD135)),AD135/(100-AD135)/(AD139/(100-AD139)))</f>
        <v>#VALUE!</v>
      </c>
      <c r="AE143" s="295" t="e">
        <f>IF($C$28&gt;0,AE139/(100-AE139)/(AE135/(100-AE135)),AE135/(100-AE135)/(AE139/(100-AE139)))</f>
        <v>#DIV/0!</v>
      </c>
    </row>
    <row r="144" spans="2:31" ht="33.9" customHeight="1" x14ac:dyDescent="0.25">
      <c r="B144" s="382"/>
      <c r="C144" s="383"/>
      <c r="D144" s="253"/>
      <c r="E144" s="253"/>
      <c r="F144" s="253"/>
      <c r="G144" s="22"/>
      <c r="H144" s="22"/>
      <c r="I144" s="382" t="str">
        <f>"Clinical inference as above, but declaring beneficial when odds ratio of benefit/harm is &gt;"&amp;$E$38</f>
        <v>Clinical inference as above, but declaring beneficial when odds ratio of benefit/harm is &gt;66</v>
      </c>
      <c r="J144" s="383"/>
      <c r="K144" s="253" t="e">
        <f>IF(K143&gt;$E$38,IF($C$27&gt;0,K140,K136)&amp;" beneficial",IF($C$27&gt;0,IF(K139&gt;$E$37,IF(K135&lt;$E$36,K140&amp;" beneficial","unclear; get more data"),IF(K135&gt;25,K136&amp;" harmful",K138&amp;" trivial")),IF(K135&gt;$E$37,IF(K139&lt;$E$36,K136&amp;" beneficial","unclear; get more data"),IF(K139&gt;25,K140&amp;" harmful",K138&amp;" trivial"))))</f>
        <v>#VALUE!</v>
      </c>
      <c r="L144" s="253" t="e">
        <f>IF(L143&gt;$E$38,IF($C$27&gt;0,L140,L136)&amp;" beneficial",IF($C$27&gt;0,IF(L139&gt;$E$37,IF(L135&lt;$E$36,L140&amp;" beneficial","unclear; get more data"),IF(L135&gt;25,L136&amp;" harmful",L138&amp;" trivial")),IF(L135&gt;$E$37,IF(L139&lt;$E$36,L136&amp;" beneficial","unclear; get more data"),IF(L139&gt;25,L140&amp;" harmful",L138&amp;" trivial"))))</f>
        <v>#VALUE!</v>
      </c>
      <c r="M144" s="253" t="e">
        <f>IF(M143&gt;$E$38,IF($C$27&gt;0,M140,M136)&amp;" beneficial",IF($C$27&gt;0,IF(M139&gt;$E$37,IF(M135&lt;$E$36,M140&amp;" beneficial","unclear; get more data"),IF(M135&gt;25,M136&amp;" harmful",M138&amp;" trivial")),IF(M135&gt;$E$37,IF(M139&lt;$E$36,M136&amp;" beneficial","unclear; get more data"),IF(M139&gt;25,M140&amp;" harmful",M138&amp;" trivial"))))</f>
        <v>#VALUE!</v>
      </c>
      <c r="N144" s="253" t="e">
        <f>IF(N143&gt;$E$38,IF($C$27&gt;0,N140,N136)&amp;" beneficial",IF($C$27&gt;0,IF(N139&gt;$E$37,IF(N135&lt;$E$36,N140&amp;" beneficial","unclear; get more data"),IF(N135&gt;25,N136&amp;" harmful",N138&amp;" trivial")),IF(N135&gt;$E$37,IF(N139&lt;$E$36,N136&amp;" beneficial","unclear; get more data"),IF(N139&gt;25,N140&amp;" harmful",N138&amp;" trivial"))))</f>
        <v>#VALUE!</v>
      </c>
      <c r="O144" s="253" t="e">
        <f>IF(O143&gt;$E$38,IF($C$27&gt;0,O140,O136)&amp;" beneficial",IF($C$27&gt;0,IF(O139&gt;$E$37,IF(O135&lt;$E$36,O140&amp;" beneficial","unclear; get more data"),IF(O135&gt;25,O136&amp;" harmful",O138&amp;" trivial")),IF(O135&gt;$E$37,IF(O139&lt;$E$36,O136&amp;" beneficial","unclear; get more data"),IF(O139&gt;25,O140&amp;" harmful",O138&amp;" trivial"))))</f>
        <v>#DIV/0!</v>
      </c>
      <c r="R144" s="382"/>
      <c r="S144" s="383"/>
      <c r="T144" s="279"/>
      <c r="U144" s="253"/>
      <c r="V144" s="253"/>
      <c r="W144" s="22"/>
      <c r="X144" s="22"/>
      <c r="Y144" s="382" t="str">
        <f>"Clinical inference as above, but declaring beneficial when odds ratio of benefit/harm is &gt;"&amp;$E$38</f>
        <v>Clinical inference as above, but declaring beneficial when odds ratio of benefit/harm is &gt;66</v>
      </c>
      <c r="Z144" s="383"/>
      <c r="AA144" s="253" t="e">
        <f>IF(AA143&gt;$E$38,IF($C$28&gt;0,AA140,AA136)&amp;" beneficial",IF($C$28&gt;0,IF(AA139&gt;$E$37,IF(AA135&lt;$E$36,AA140&amp;" beneficial","unclear; get more data"),IF(AA135&gt;25,AA136&amp;" harmful",AA138&amp;" trivial")),IF(AA135&gt;$E$37,IF(AA139&lt;$E$36,AA136&amp;" beneficial","unclear; get more data"),IF(AA139&gt;25,AA140&amp;" harmful",AA138&amp;" trivial"))))</f>
        <v>#VALUE!</v>
      </c>
      <c r="AB144" s="253" t="e">
        <f>IF(AB143&gt;$E$38,IF($C$28&gt;0,AB140,AB136)&amp;" beneficial",IF($C$28&gt;0,IF(AB139&gt;$E$37,IF(AB135&lt;$E$36,AB140&amp;" beneficial","unclear; get more data"),IF(AB135&gt;25,AB136&amp;" harmful",AB138&amp;" trivial")),IF(AB135&gt;$E$37,IF(AB139&lt;$E$36,AB136&amp;" beneficial","unclear; get more data"),IF(AB139&gt;25,AB140&amp;" harmful",AB138&amp;" trivial"))))</f>
        <v>#VALUE!</v>
      </c>
      <c r="AC144" s="253" t="e">
        <f>IF(AC143&gt;$E$38,IF($C$28&gt;0,AC140,AC136)&amp;" beneficial",IF($C$28&gt;0,IF(AC139&gt;$E$37,IF(AC135&lt;$E$36,AC140&amp;" beneficial","unclear; get more data"),IF(AC135&gt;25,AC136&amp;" harmful",AC138&amp;" trivial")),IF(AC135&gt;$E$37,IF(AC139&lt;$E$36,AC136&amp;" beneficial","unclear; get more data"),IF(AC139&gt;25,AC140&amp;" harmful",AC138&amp;" trivial"))))</f>
        <v>#VALUE!</v>
      </c>
      <c r="AD144" s="253" t="e">
        <f>IF(AD143&gt;$E$38,IF($C$28&gt;0,AD140,AD136)&amp;" beneficial",IF($C$28&gt;0,IF(AD139&gt;$E$37,IF(AD135&lt;$E$36,AD140&amp;" beneficial","unclear; get more data"),IF(AD135&gt;25,AD136&amp;" harmful",AD138&amp;" trivial")),IF(AD135&gt;$E$37,IF(AD139&lt;$E$36,AD136&amp;" beneficial","unclear; get more data"),IF(AD139&gt;25,AD140&amp;" harmful",AD138&amp;" trivial"))))</f>
        <v>#VALUE!</v>
      </c>
      <c r="AE144" s="253" t="e">
        <f>IF(AE143&gt;$E$38,IF($C$28&gt;0,AE140,AE136)&amp;" beneficial",IF($C$28&gt;0,IF(AE139&gt;$E$37,IF(AE135&lt;$E$36,AE140&amp;" beneficial","unclear; get more data"),IF(AE135&gt;25,AE136&amp;" harmful",AE138&amp;" trivial")),IF(AE135&gt;$E$37,IF(AE139&lt;$E$36,AE136&amp;" beneficial","unclear; get more data"),IF(AE139&gt;25,AE140&amp;" harmful",AE138&amp;" trivial"))))</f>
        <v>#DIV/0!</v>
      </c>
    </row>
    <row r="145" spans="2:31" x14ac:dyDescent="0.25">
      <c r="B145" s="20"/>
      <c r="C145" s="38"/>
      <c r="D145" s="39"/>
      <c r="E145" s="39"/>
      <c r="F145" s="39"/>
      <c r="G145" s="22"/>
      <c r="H145" s="22"/>
      <c r="I145" s="20"/>
      <c r="J145" s="38"/>
      <c r="K145" s="38"/>
      <c r="L145" s="38"/>
      <c r="M145" s="38"/>
      <c r="N145" s="38"/>
      <c r="O145" s="39"/>
      <c r="R145" s="20"/>
      <c r="S145" s="38"/>
      <c r="T145" s="38"/>
      <c r="U145" s="39"/>
      <c r="V145" s="39"/>
      <c r="Y145" s="32"/>
      <c r="Z145" s="22"/>
      <c r="AA145" s="22"/>
      <c r="AB145" s="22"/>
      <c r="AC145" s="33"/>
      <c r="AD145" s="33"/>
      <c r="AE145" s="33"/>
    </row>
    <row r="146" spans="2:31" x14ac:dyDescent="0.25">
      <c r="B146" s="398" t="s">
        <v>156</v>
      </c>
      <c r="C146" s="399"/>
      <c r="D146" s="56">
        <f>IF(ISERROR(SQRT(D94^2-D63^2)),-SQRT(D63^2-D94^2),SQRT(D94^2-D63^2))</f>
        <v>-2.118004139539833</v>
      </c>
      <c r="E146" s="56">
        <f>IF(ISERROR(SQRT(E94^2-E63^2)),-SQRT(E63^2-E94^2),SQRT(E94^2-E63^2))</f>
        <v>-7.1239818830905515</v>
      </c>
      <c r="F146" s="56">
        <f>IF(ISERROR(SQRT(F94^2-F63^2)),-SQRT(F63^2-F94^2),SQRT(F94^2-F63^2))</f>
        <v>7.6532444536125954</v>
      </c>
      <c r="G146" s="27"/>
      <c r="H146" s="27"/>
      <c r="I146" s="398" t="s">
        <v>126</v>
      </c>
      <c r="J146" s="399"/>
      <c r="K146" s="64">
        <f>IF(ISERROR(SQRT(K94^2-K63^2)),-SQRT(K63^2-K94^2),SQRT(K94^2-K63^2))</f>
        <v>6.749266301517288</v>
      </c>
      <c r="L146" s="64">
        <f>IF(ISERROR(SQRT(L94^2-L63^2)),-SQRT(L63^2-L94^2),SQRT(L94^2-L63^2))</f>
        <v>10.026357792485356</v>
      </c>
      <c r="M146" s="77">
        <f>IF(ISERROR(SQRT(M94^2-M63^2)),-SQRT(M63^2-M94^2),SQRT(M94^2-M63^2))</f>
        <v>15.50087196353765</v>
      </c>
      <c r="N146" s="77">
        <f>IF(ISERROR(SQRT(N94^2-N63^2)),-SQRT(N63^2-N94^2),SQRT(N94^2-N63^2))</f>
        <v>10.818375531497162</v>
      </c>
      <c r="O146" s="77" t="e">
        <f>IF(ISERROR(SQRT(O94^2-O63^2)),-SQRT(O63^2-O94^2),SQRT(O94^2-O63^2))</f>
        <v>#DIV/0!</v>
      </c>
      <c r="R146" s="398" t="s">
        <v>160</v>
      </c>
      <c r="S146" s="399"/>
      <c r="T146" s="35"/>
      <c r="U146" s="56">
        <f t="shared" ref="U146:V148" si="40">100*EXP(U258/100)-100</f>
        <v>-0.37897882614896616</v>
      </c>
      <c r="V146" s="56">
        <f t="shared" si="40"/>
        <v>2.5243552700127765</v>
      </c>
      <c r="Y146" s="398" t="s">
        <v>132</v>
      </c>
      <c r="Z146" s="399"/>
      <c r="AA146" s="56">
        <f t="shared" ref="AA146:AE148" si="41">100*EXP(AA258/100)-100</f>
        <v>1.8619955997774866</v>
      </c>
      <c r="AB146" s="15">
        <f t="shared" si="41"/>
        <v>2.347115035426242</v>
      </c>
      <c r="AC146" s="15">
        <f t="shared" si="41"/>
        <v>4.0041598856812186</v>
      </c>
      <c r="AD146" s="15">
        <f t="shared" si="41"/>
        <v>2.7492795499329787</v>
      </c>
      <c r="AE146" s="15" t="e">
        <f t="shared" si="41"/>
        <v>#DIV/0!</v>
      </c>
    </row>
    <row r="147" spans="2:31" ht="12.75" customHeight="1" x14ac:dyDescent="0.25">
      <c r="B147" s="390" t="s">
        <v>131</v>
      </c>
      <c r="C147" s="21" t="s">
        <v>9</v>
      </c>
      <c r="D147" s="57">
        <f>IF(ISERROR(SQRT(D94^2-D63^2+NORMINV(0.5-D127/200,0,1)*SQRT(2*D63^4/D65+2*D94^4/D96))),-SQRT(-(D94^2-D63^2+NORMINV(0.5-D127/200,0,1)*SQRT(2*D63^4/D65+2*D94^4/D96))),SQRT(D94^2-D63^2+NORMINV(0.5-D127/200,0,1)*SQRT(2*D63^4/D65+2*D94^4/D96)))</f>
        <v>-3.6153093268797898</v>
      </c>
      <c r="E147" s="57">
        <f>IF(ISERROR(SQRT(E94^2-E63^2+NORMINV(0.5-E127/200,0,1)*SQRT(2*E63^4/E65+2*E94^4/E96))),-SQRT(-(E94^2-E63^2+NORMINV(0.5-E127/200,0,1)*SQRT(2*E63^4/E65+2*E94^4/E96))),SQRT(E94^2-E63^2+NORMINV(0.5-E127/200,0,1)*SQRT(2*E63^4/E65+2*E94^4/E96)))</f>
        <v>-19.861787126622971</v>
      </c>
      <c r="F147" s="57">
        <f>IF(ISERROR(SQRT(F94^2-F63^2+NORMINV(0.5-F127/200,0,1)*SQRT(2*F63^4/F65+2*F94^4/F96))),-SQRT(-(F94^2-F63^2+NORMINV(0.5-F127/200,0,1)*SQRT(2*F63^4/F65+2*F94^4/F96))),SQRT(F94^2-F63^2+NORMINV(0.5-F127/200,0,1)*SQRT(2*F63^4/F65+2*F94^4/F96)))</f>
        <v>-17.323335315913198</v>
      </c>
      <c r="G147" s="80"/>
      <c r="H147" s="80"/>
      <c r="I147" s="390" t="s">
        <v>131</v>
      </c>
      <c r="J147" s="21" t="s">
        <v>9</v>
      </c>
      <c r="K147" s="57">
        <f>IF(ISERROR(SQRT(K94^2-K63^2+NORMINV(0.5-K127/200,0,1)*SQRT(2*K63^4/K65+2*K94^4/K96))),-SQRT(-(K94^2-K63^2+NORMINV(0.5-K127/200,0,1)*SQRT(2*K63^4/K65+2*K94^4/K96))),SQRT(K94^2-K63^2+NORMINV(0.5-K127/200,0,1)*SQRT(2*K63^4/K65+2*K94^4/K96)))</f>
        <v>-9.28580146725891</v>
      </c>
      <c r="L147" s="57">
        <f>IF(ISERROR(SQRT(L94^2-L63^2+NORMINV(0.5-L127/200,0,1)*SQRT(2*L63^4/L65+2*L94^4/L96))),-SQRT(-(L94^2-L63^2+NORMINV(0.5-L127/200,0,1)*SQRT(2*L63^4/L65+2*L94^4/L96))),SQRT(L94^2-L63^2+NORMINV(0.5-L127/200,0,1)*SQRT(2*L63^4/L65+2*L94^4/L96)))</f>
        <v>-6.4048229338498723</v>
      </c>
      <c r="M147" s="57">
        <f>IF(ISERROR(SQRT(M94^2-M63^2+NORMINV(0.5-M127/200,0,1)*SQRT(2*M63^4/M65+2*M94^4/M96))),-SQRT(-(M94^2-M63^2+NORMINV(0.5-M127/200,0,1)*SQRT(2*M63^4/M65+2*M94^4/M96))),SQRT(M94^2-M63^2+NORMINV(0.5-M127/200,0,1)*SQRT(2*M63^4/M65+2*M94^4/M96)))</f>
        <v>7.7026245615208495</v>
      </c>
      <c r="N147" s="57">
        <f>IF(ISERROR(SQRT(N94^2-N63^2+NORMINV(0.5-N127/200,0,1)*SQRT(2*N63^4/N65+2*N94^4/N96))),-SQRT(-(N94^2-N63^2+NORMINV(0.5-N127/200,0,1)*SQRT(2*N63^4/N65+2*N94^4/N96))),SQRT(N94^2-N63^2+NORMINV(0.5-N127/200,0,1)*SQRT(2*N63^4/N65+2*N94^4/N96)))</f>
        <v>-8.2364338911716146</v>
      </c>
      <c r="O147" s="57" t="e">
        <f>IF(ISERROR(SQRT(O94^2-O63^2+NORMINV(0.5-O127/200,0,1)*SQRT(2*O63^4/O65+2*O94^4/O96))),-SQRT(-(O94^2-O63^2+NORMINV(0.5-O127/200,0,1)*SQRT(2*O63^4/O65+2*O94^4/O96))),SQRT(O94^2-O63^2+NORMINV(0.5-O127/200,0,1)*SQRT(2*O63^4/O65+2*O94^4/O96)))</f>
        <v>#DIV/0!</v>
      </c>
      <c r="R147" s="436" t="s">
        <v>131</v>
      </c>
      <c r="S147" s="21" t="s">
        <v>9</v>
      </c>
      <c r="T147" s="21"/>
      <c r="U147" s="57">
        <f t="shared" si="40"/>
        <v>-4.6294194265941115</v>
      </c>
      <c r="V147" s="57">
        <f t="shared" si="40"/>
        <v>-4.0190485536801788</v>
      </c>
      <c r="Y147" s="436" t="s">
        <v>131</v>
      </c>
      <c r="Z147" s="21" t="s">
        <v>9</v>
      </c>
      <c r="AA147" s="57">
        <f t="shared" si="41"/>
        <v>-2.1777135505143974</v>
      </c>
      <c r="AB147" s="70">
        <f t="shared" si="41"/>
        <v>-1.7410042370792809</v>
      </c>
      <c r="AC147" s="70">
        <f t="shared" si="41"/>
        <v>2.0501712938501839</v>
      </c>
      <c r="AD147" s="70">
        <f t="shared" si="41"/>
        <v>-1.9463590385142311</v>
      </c>
      <c r="AE147" s="70" t="e">
        <f t="shared" si="41"/>
        <v>#DIV/0!</v>
      </c>
    </row>
    <row r="148" spans="2:31" ht="12.75" customHeight="1" x14ac:dyDescent="0.25">
      <c r="B148" s="391"/>
      <c r="C148" s="11" t="s">
        <v>10</v>
      </c>
      <c r="D148" s="58">
        <f>IF(ISERROR(SQRT(D94^2-D63^2+NORMINV(0.5+D127/200,0,1)*SQRT(2*D63^4/D65+2*D94^4/D96))),-SQRT(-(D94^2-D63^2+NORMINV(0.5+D127/200,0,1)*SQRT(2*D63^4/D65+2*D94^4/D96))),SQRT(D94^2-D63^2+NORMINV(0.5+D127/200,0,1)*SQRT(2*D63^4/D65+2*D94^4/D96)))</f>
        <v>2.0244946181228185</v>
      </c>
      <c r="E148" s="58">
        <f>IF(ISERROR(SQRT(E94^2-E63^2+NORMINV(0.5+E127/200,0,1)*SQRT(2*E63^4/E65+2*E94^4/E96))),-SQRT(-(E94^2-E63^2+NORMINV(0.5+E127/200,0,1)*SQRT(2*E63^4/E65+2*E94^4/E96))),SQRT(E94^2-E63^2+NORMINV(0.5+E127/200,0,1)*SQRT(2*E63^4/E65+2*E94^4/E96)))</f>
        <v>17.116902527095284</v>
      </c>
      <c r="F148" s="58">
        <f>IF(ISERROR(SQRT(F94^2-F63^2+NORMINV(0.5+F127/200,0,1)*SQRT(2*F63^4/F65+2*F94^4/F96))),-SQRT(-(F94^2-F63^2+NORMINV(0.5+F127/200,0,1)*SQRT(2*F63^4/F65+2*F94^4/F96))),SQRT(F94^2-F63^2+NORMINV(0.5+F127/200,0,1)*SQRT(2*F63^4/F65+2*F94^4/F96)))</f>
        <v>20.426508458399571</v>
      </c>
      <c r="G148" s="22"/>
      <c r="H148" s="22"/>
      <c r="I148" s="391"/>
      <c r="J148" s="11" t="s">
        <v>10</v>
      </c>
      <c r="K148" s="58">
        <f>IF(ISERROR(SQRT(K94^2-K63^2+NORMINV(0.5+K127/200,0,1)*SQRT(2*K63^4/K65+2*K94^4/K96))),-SQRT(-(K94^2-K63^2+NORMINV(0.5+K127/200,0,1)*SQRT(2*K63^4/K65+2*K94^4/K96))),SQRT(K94^2-K63^2+NORMINV(0.5+K127/200,0,1)*SQRT(2*K63^4/K65+2*K94^4/K96)))</f>
        <v>13.316579895263697</v>
      </c>
      <c r="L148" s="58">
        <f>IF(ISERROR(SQRT(L94^2-L63^2+NORMINV(0.5+L127/200,0,1)*SQRT(2*L63^4/L65+2*L94^4/L96))),-SQRT(-(L94^2-L63^2+NORMINV(0.5+L127/200,0,1)*SQRT(2*L63^4/L65+2*L94^4/L96))),SQRT(L94^2-L63^2+NORMINV(0.5+L127/200,0,1)*SQRT(2*L63^4/L65+2*L94^4/L96)))</f>
        <v>15.558838580685668</v>
      </c>
      <c r="M148" s="58">
        <f>IF(ISERROR(SQRT(M94^2-M63^2+NORMINV(0.5+M127/200,0,1)*SQRT(2*M63^4/M65+2*M94^4/M96))),-SQRT(-(M94^2-M63^2+NORMINV(0.5+M127/200,0,1)*SQRT(2*M63^4/M65+2*M94^4/M96))),SQRT(M94^2-M63^2+NORMINV(0.5+M127/200,0,1)*SQRT(2*M63^4/M65+2*M94^4/M96)))</f>
        <v>20.523733532772024</v>
      </c>
      <c r="N148" s="58">
        <f>IF(ISERROR(SQRT(N94^2-N63^2+NORMINV(0.5+N127/200,0,1)*SQRT(2*N63^4/N65+2*N94^4/N96))),-SQRT(-(N94^2-N63^2+NORMINV(0.5+N127/200,0,1)*SQRT(2*N63^4/N65+2*N94^4/N96))),SQRT(N94^2-N63^2+NORMINV(0.5+N127/200,0,1)*SQRT(2*N63^4/N65+2*N94^4/N96)))</f>
        <v>17.37565370064198</v>
      </c>
      <c r="O148" s="58" t="e">
        <f>IF(ISERROR(SQRT(O94^2-O63^2+NORMINV(0.5+O127/200,0,1)*SQRT(2*O63^4/O65+2*O94^4/O96))),-SQRT(-(O94^2-O63^2+NORMINV(0.5+O127/200,0,1)*SQRT(2*O63^4/O65+2*O94^4/O96))),SQRT(O94^2-O63^2+NORMINV(0.5+O127/200,0,1)*SQRT(2*O63^4/O65+2*O94^4/O96)))</f>
        <v>#DIV/0!</v>
      </c>
      <c r="R148" s="437"/>
      <c r="S148" s="11" t="s">
        <v>10</v>
      </c>
      <c r="T148" s="11"/>
      <c r="U148" s="61">
        <f t="shared" si="40"/>
        <v>4.8221474616177744</v>
      </c>
      <c r="V148" s="61">
        <f t="shared" si="40"/>
        <v>5.5579380915689001</v>
      </c>
      <c r="Y148" s="437"/>
      <c r="Z148" s="11" t="s">
        <v>10</v>
      </c>
      <c r="AA148" s="61">
        <f t="shared" si="41"/>
        <v>3.4728747579781469</v>
      </c>
      <c r="AB148" s="71">
        <f t="shared" si="41"/>
        <v>3.7916014466285048</v>
      </c>
      <c r="AC148" s="71">
        <f t="shared" si="41"/>
        <v>5.3039964878801413</v>
      </c>
      <c r="AD148" s="71">
        <f t="shared" si="41"/>
        <v>4.4041047613604576</v>
      </c>
      <c r="AE148" s="71" t="e">
        <f t="shared" si="41"/>
        <v>#DIV/0!</v>
      </c>
    </row>
    <row r="149" spans="2:31" s="111" customFormat="1" ht="12.75" customHeight="1" x14ac:dyDescent="0.25">
      <c r="G149" s="112"/>
      <c r="H149" s="112"/>
    </row>
    <row r="150" spans="2:31" x14ac:dyDescent="0.25">
      <c r="B150" s="111" t="s">
        <v>4</v>
      </c>
      <c r="I150" s="111" t="s">
        <v>4</v>
      </c>
      <c r="R150" s="111" t="s">
        <v>5</v>
      </c>
      <c r="U150" s="111" t="str">
        <f>CONCATENATE($B$73,"-",$B$42," difference")</f>
        <v>Exptal-Control difference</v>
      </c>
      <c r="V150" s="111"/>
      <c r="Y150" s="111" t="s">
        <v>5</v>
      </c>
      <c r="AA150" s="111" t="str">
        <f>CONCATENATE($B$73,"-",$B$42," difference")</f>
        <v>Exptal-Control difference</v>
      </c>
    </row>
    <row r="151" spans="2:31" s="115" customFormat="1" ht="30" customHeight="1" x14ac:dyDescent="0.3">
      <c r="B151" s="438" t="s">
        <v>194</v>
      </c>
      <c r="C151" s="439"/>
      <c r="D151" s="189"/>
      <c r="E151" s="229"/>
      <c r="F151" s="229"/>
      <c r="I151" s="392" t="s">
        <v>193</v>
      </c>
      <c r="J151" s="393"/>
      <c r="K151" s="230"/>
      <c r="L151" s="230"/>
      <c r="M151" s="230"/>
      <c r="N151" s="230"/>
      <c r="O151" s="230"/>
      <c r="R151" s="434" t="s">
        <v>119</v>
      </c>
      <c r="S151" s="435"/>
      <c r="T151" s="188"/>
      <c r="U151" s="120" t="str">
        <f>U41</f>
        <v>Pre1</v>
      </c>
      <c r="V151" s="120" t="str">
        <f>V41</f>
        <v>Pre2</v>
      </c>
      <c r="Y151" s="392" t="s">
        <v>17</v>
      </c>
      <c r="Z151" s="393"/>
      <c r="AA151" s="120" t="str">
        <f>AA41</f>
        <v>Pre2-Pre1</v>
      </c>
      <c r="AB151" s="120" t="str">
        <f>AB41</f>
        <v>Post1-Pre2</v>
      </c>
      <c r="AC151" s="120" t="str">
        <f>AC41</f>
        <v>Post2-Pre2</v>
      </c>
      <c r="AD151" s="120" t="str">
        <f>AD41</f>
        <v>Post2-Post1</v>
      </c>
      <c r="AE151" s="120" t="str">
        <f>AE41</f>
        <v>other effect</v>
      </c>
    </row>
    <row r="152" spans="2:31" s="323" customFormat="1" x14ac:dyDescent="0.25">
      <c r="B152" s="52"/>
      <c r="C152" s="52"/>
      <c r="D152" s="326"/>
      <c r="R152" s="324"/>
      <c r="S152" s="321" t="s">
        <v>130</v>
      </c>
      <c r="T152" s="325"/>
      <c r="U152" s="322">
        <f>$E$35</f>
        <v>90</v>
      </c>
      <c r="V152" s="322">
        <f>$E$35</f>
        <v>90</v>
      </c>
      <c r="Y152" s="324"/>
      <c r="Z152" s="321" t="s">
        <v>130</v>
      </c>
      <c r="AA152" s="322">
        <f>$E$35</f>
        <v>90</v>
      </c>
      <c r="AB152" s="322">
        <f>$E$35</f>
        <v>90</v>
      </c>
      <c r="AC152" s="322">
        <f>$E$35</f>
        <v>90</v>
      </c>
      <c r="AD152" s="322">
        <f>$E$35</f>
        <v>90</v>
      </c>
      <c r="AE152" s="322">
        <f>$E$35</f>
        <v>90</v>
      </c>
    </row>
    <row r="153" spans="2:31" x14ac:dyDescent="0.25">
      <c r="D153" s="181"/>
      <c r="R153" s="20"/>
      <c r="S153" s="23" t="s">
        <v>129</v>
      </c>
      <c r="T153" s="123"/>
      <c r="U153" s="18">
        <f>U122</f>
        <v>37.999774306951309</v>
      </c>
      <c r="V153" s="18">
        <f>V122</f>
        <v>37.606313604722494</v>
      </c>
      <c r="Y153" s="20"/>
      <c r="Z153" s="23" t="s">
        <v>129</v>
      </c>
      <c r="AA153" s="26">
        <f>AA122</f>
        <v>37.079343058522092</v>
      </c>
      <c r="AB153" s="31">
        <f>AB122</f>
        <v>35.813431770810944</v>
      </c>
      <c r="AC153" s="31">
        <f>AC122</f>
        <v>27.923429077369057</v>
      </c>
      <c r="AD153" s="31">
        <f>AD122</f>
        <v>35.673927338573336</v>
      </c>
      <c r="AE153" s="31" t="e">
        <f>AE122</f>
        <v>#DIV/0!</v>
      </c>
    </row>
    <row r="154" spans="2:31" x14ac:dyDescent="0.25">
      <c r="D154" s="91"/>
      <c r="R154" s="20"/>
      <c r="S154" s="7" t="s">
        <v>134</v>
      </c>
      <c r="T154" s="179"/>
      <c r="U154" s="41">
        <f t="shared" ref="U154:V156" si="42">EXP(U245/100)</f>
        <v>0.96464381125502907</v>
      </c>
      <c r="V154" s="41">
        <f t="shared" si="42"/>
        <v>0.9797870619990775</v>
      </c>
      <c r="Y154" s="20"/>
      <c r="Z154" s="7" t="s">
        <v>134</v>
      </c>
      <c r="AA154" s="41">
        <f>EXP(AA245/100)</f>
        <v>1.0156982821714755</v>
      </c>
      <c r="AB154" s="41">
        <f>EXP(AB117/100)</f>
        <v>1.0169296596704471</v>
      </c>
      <c r="AC154" s="41">
        <f>EXP(AC117/100)</f>
        <v>1.0105210639900921</v>
      </c>
      <c r="AD154" s="41">
        <f>EXP(AD117/100)</f>
        <v>0.99369809345276472</v>
      </c>
      <c r="AE154" s="41" t="e">
        <f>EXP(AE117/100)</f>
        <v>#DIV/0!</v>
      </c>
    </row>
    <row r="155" spans="2:31" s="52" customFormat="1" ht="12.75" customHeight="1" x14ac:dyDescent="0.25">
      <c r="B155" s="50"/>
      <c r="C155" s="50"/>
      <c r="D155" s="87"/>
      <c r="E155" s="50"/>
      <c r="F155" s="50"/>
      <c r="G155" s="50"/>
      <c r="H155" s="50"/>
      <c r="I155" s="50"/>
      <c r="J155" s="50"/>
      <c r="K155" s="50"/>
      <c r="L155" s="50"/>
      <c r="M155" s="50"/>
      <c r="N155" s="50"/>
      <c r="O155" s="50"/>
      <c r="R155" s="429" t="s">
        <v>135</v>
      </c>
      <c r="S155" s="40" t="s">
        <v>9</v>
      </c>
      <c r="T155" s="40"/>
      <c r="U155" s="59">
        <f t="shared" si="42"/>
        <v>0.9370564171122906</v>
      </c>
      <c r="V155" s="59">
        <f t="shared" si="42"/>
        <v>0.95139870541605542</v>
      </c>
      <c r="Y155" s="429" t="s">
        <v>135</v>
      </c>
      <c r="Z155" s="40" t="s">
        <v>9</v>
      </c>
      <c r="AA155" s="59">
        <f>EXP(AA246/100)</f>
        <v>0.9980455376370212</v>
      </c>
      <c r="AB155" s="59">
        <f t="shared" ref="AB155:AE156" si="43">EXP(AB246/100)</f>
        <v>0.99915558394540349</v>
      </c>
      <c r="AC155" s="59">
        <f t="shared" si="43"/>
        <v>0.99121213931149288</v>
      </c>
      <c r="AD155" s="59">
        <f t="shared" si="43"/>
        <v>0.97375150292387136</v>
      </c>
      <c r="AE155" s="59" t="e">
        <f t="shared" si="43"/>
        <v>#DIV/0!</v>
      </c>
    </row>
    <row r="156" spans="2:31" s="52" customFormat="1" x14ac:dyDescent="0.25">
      <c r="B156" s="50"/>
      <c r="C156" s="50"/>
      <c r="D156" s="87"/>
      <c r="E156" s="50"/>
      <c r="F156" s="50"/>
      <c r="G156" s="50"/>
      <c r="H156" s="50"/>
      <c r="I156" s="50"/>
      <c r="J156" s="50"/>
      <c r="K156" s="50"/>
      <c r="L156" s="50"/>
      <c r="M156" s="50"/>
      <c r="N156" s="50"/>
      <c r="O156" s="50"/>
      <c r="R156" s="430"/>
      <c r="S156" s="11" t="s">
        <v>10</v>
      </c>
      <c r="T156" s="11"/>
      <c r="U156" s="60">
        <f t="shared" si="42"/>
        <v>0.99304339162443278</v>
      </c>
      <c r="V156" s="60">
        <f t="shared" si="42"/>
        <v>1.0090224859418691</v>
      </c>
      <c r="Y156" s="430"/>
      <c r="Z156" s="11" t="s">
        <v>10</v>
      </c>
      <c r="AA156" s="60">
        <f>EXP(AA247/100)</f>
        <v>1.0336632563365902</v>
      </c>
      <c r="AB156" s="60">
        <f t="shared" si="43"/>
        <v>1.0350199201548571</v>
      </c>
      <c r="AC156" s="60">
        <f t="shared" si="43"/>
        <v>1.0302061287071929</v>
      </c>
      <c r="AD156" s="60">
        <f t="shared" si="43"/>
        <v>1.0140532753651195</v>
      </c>
      <c r="AE156" s="60" t="e">
        <f t="shared" si="43"/>
        <v>#DIV/0!</v>
      </c>
    </row>
    <row r="157" spans="2:31" s="52" customFormat="1" ht="13.8" x14ac:dyDescent="0.25">
      <c r="B157" s="50"/>
      <c r="C157" s="50"/>
      <c r="D157" s="110"/>
      <c r="E157" s="50"/>
      <c r="F157" s="50"/>
      <c r="G157" s="50"/>
      <c r="H157" s="50"/>
      <c r="I157" s="50"/>
      <c r="J157" s="50"/>
      <c r="K157" s="50"/>
      <c r="L157" s="50"/>
      <c r="M157" s="50"/>
      <c r="N157" s="50"/>
      <c r="O157" s="50"/>
      <c r="R157" s="431"/>
      <c r="S157" s="12" t="s">
        <v>24</v>
      </c>
      <c r="T157" s="12"/>
      <c r="U157" s="63">
        <f>SQRT(U156/U155)</f>
        <v>1.0294404836666655</v>
      </c>
      <c r="V157" s="63">
        <f>SQRT(V156/V155)</f>
        <v>1.0298385486772421</v>
      </c>
      <c r="Y157" s="431"/>
      <c r="Z157" s="12" t="s">
        <v>24</v>
      </c>
      <c r="AA157" s="63">
        <f>SQRT(AA156/AA155)</f>
        <v>1.017687313723429</v>
      </c>
      <c r="AB157" s="63">
        <f>SQRT(AB156/AB155)</f>
        <v>1.017789097124252</v>
      </c>
      <c r="AC157" s="63">
        <f>SQRT(AC156/AC155)</f>
        <v>1.0194801131995936</v>
      </c>
      <c r="AD157" s="63">
        <f>SQRT(AD156/AD155)</f>
        <v>1.0204842718794271</v>
      </c>
      <c r="AE157" s="63" t="e">
        <f>SQRT(AE156/AE155)</f>
        <v>#DIV/0!</v>
      </c>
    </row>
    <row r="158" spans="2:31" s="52" customFormat="1" ht="12.75" customHeight="1" x14ac:dyDescent="0.25">
      <c r="B158" s="50"/>
      <c r="C158" s="50"/>
      <c r="D158" s="182"/>
      <c r="E158" s="50"/>
      <c r="F158" s="50"/>
      <c r="G158" s="50"/>
      <c r="H158" s="50"/>
      <c r="I158" s="50"/>
      <c r="J158" s="50"/>
      <c r="K158" s="50"/>
      <c r="L158" s="50"/>
      <c r="M158" s="50"/>
      <c r="N158" s="50"/>
      <c r="O158" s="50"/>
      <c r="R158" s="384" t="s">
        <v>173</v>
      </c>
      <c r="S158" s="282" t="str">
        <f>"&gt; or "&amp;IF($C$29&gt;1,"harmful","beneficial")</f>
        <v>&gt; or beneficial</v>
      </c>
      <c r="T158" s="65"/>
      <c r="U158" s="238" t="str">
        <f>IF(ISBLANK($C$29),"",MAX($C$29,$D$29))</f>
        <v/>
      </c>
      <c r="V158" s="238" t="str">
        <f>IF(ISBLANK($C$29),"",MAX($C$29,$D$29))</f>
        <v/>
      </c>
      <c r="Y158" s="384" t="s">
        <v>173</v>
      </c>
      <c r="Z158" s="282" t="str">
        <f>"&gt; or "&amp;IF($C$29&gt;1,"harmful","beneficial")</f>
        <v>&gt; or beneficial</v>
      </c>
      <c r="AA158" s="238" t="str">
        <f>IF(ISBLANK($C$29),"",MAX($C$29,$D$29))</f>
        <v/>
      </c>
      <c r="AB158" s="238" t="str">
        <f>IF(ISBLANK($C$29),"",MAX($C$29,$D$29))</f>
        <v/>
      </c>
      <c r="AC158" s="238" t="str">
        <f>IF(ISBLANK($C$29),"",MAX($C$29,$D$29))</f>
        <v/>
      </c>
      <c r="AD158" s="238" t="str">
        <f>IF(ISBLANK($C$29),"",MAX($C$29,$D$29))</f>
        <v/>
      </c>
      <c r="AE158" s="238" t="str">
        <f>IF(ISBLANK($C$29),"",MAX($C$29,$D$29))</f>
        <v/>
      </c>
    </row>
    <row r="159" spans="2:31" s="52" customFormat="1" x14ac:dyDescent="0.25">
      <c r="B159" s="50"/>
      <c r="C159" s="50"/>
      <c r="D159" s="183"/>
      <c r="E159" s="50"/>
      <c r="F159" s="50"/>
      <c r="G159" s="50"/>
      <c r="H159" s="50"/>
      <c r="I159" s="50"/>
      <c r="J159" s="50"/>
      <c r="K159" s="50"/>
      <c r="L159" s="50"/>
      <c r="M159" s="50"/>
      <c r="N159" s="50"/>
      <c r="O159" s="50"/>
      <c r="R159" s="385"/>
      <c r="S159" s="283" t="str">
        <f>"&lt; or "&amp;IF($C$29&lt;1,"harmful","beneficial")</f>
        <v>&lt; or harmful</v>
      </c>
      <c r="T159" s="66"/>
      <c r="U159" s="238" t="str">
        <f>IF(ISBLANK($C$29),"",MIN($C$29,$D$29))</f>
        <v/>
      </c>
      <c r="V159" s="238" t="str">
        <f>IF(ISBLANK($C$29),"",MIN($C$29,$D$29))</f>
        <v/>
      </c>
      <c r="Y159" s="385"/>
      <c r="Z159" s="283" t="str">
        <f>"&lt; or "&amp;IF($C$29&lt;1,"harmful","beneficial")</f>
        <v>&lt; or harmful</v>
      </c>
      <c r="AA159" s="238" t="str">
        <f>IF(ISBLANK($C$29),"",MIN($C$29,$D$29))</f>
        <v/>
      </c>
      <c r="AB159" s="238" t="str">
        <f>IF(ISBLANK($C$29),"",MIN($C$29,$D$29))</f>
        <v/>
      </c>
      <c r="AC159" s="238" t="str">
        <f>IF(ISBLANK($C$29),"",MIN($C$29,$D$29))</f>
        <v/>
      </c>
      <c r="AD159" s="238" t="str">
        <f>IF(ISBLANK($C$29),"",MIN($C$29,$D$29))</f>
        <v/>
      </c>
      <c r="AE159" s="238" t="str">
        <f>IF(ISBLANK($C$29),"",MIN($C$29,$D$29))</f>
        <v/>
      </c>
    </row>
    <row r="160" spans="2:31" s="52" customFormat="1" ht="12.75" customHeight="1" x14ac:dyDescent="0.25">
      <c r="B160" s="50"/>
      <c r="C160" s="50"/>
      <c r="D160" s="184"/>
      <c r="E160" s="50"/>
      <c r="F160" s="50"/>
      <c r="G160" s="50"/>
      <c r="H160" s="50"/>
      <c r="I160" s="50"/>
      <c r="J160" s="50"/>
      <c r="K160" s="50"/>
      <c r="L160" s="50"/>
      <c r="M160" s="50"/>
      <c r="N160" s="50"/>
      <c r="O160" s="50"/>
      <c r="R160" s="394" t="s">
        <v>231</v>
      </c>
      <c r="S160" s="427" t="str">
        <f>"a substantial increase (&gt;) or "&amp;IF($C$29&gt;1,"harmful","beneficial")</f>
        <v>a substantial increase (&gt;) or beneficial</v>
      </c>
      <c r="T160" s="125"/>
      <c r="U160" s="67" t="e">
        <f>IF(ISERROR(TDIST((100*LN(U158)-U$117)/U$123,U153,1)),1-TDIST((U$117-100*LN(U158))/U$123,U153,1),TDIST((100*LN(U158)-U$117)/U$123,U153,1))*100</f>
        <v>#VALUE!</v>
      </c>
      <c r="V160" s="67" t="e">
        <f>IF(ISERROR(TDIST((100*LN(V158)-V$117)/V$123,V153,1)),1-TDIST((V$117-100*LN(V158))/V$123,V153,1),TDIST((100*LN(V158)-V$117)/V$123,V153,1))*100</f>
        <v>#VALUE!</v>
      </c>
      <c r="W160" s="236"/>
      <c r="Y160" s="394" t="s">
        <v>231</v>
      </c>
      <c r="Z160" s="427" t="str">
        <f>"a substantial increase (&gt;) or "&amp;IF($C$29&gt;1,"harmful","beneficial")</f>
        <v>a substantial increase (&gt;) or beneficial</v>
      </c>
      <c r="AA160" s="67" t="e">
        <f>IF(ISERROR(TDIST((100*LN(AA158)-AA$117)/AA$123,AA153,1)),1-TDIST((AA$117-100*LN(AA158))/AA$123,AA153,1),TDIST((100*LN(AA158)-AA$117)/AA$123,AA153,1))*100</f>
        <v>#VALUE!</v>
      </c>
      <c r="AB160" s="67" t="e">
        <f>IF(ISERROR(TDIST((100*LN(AB158)-AB$117)/AB$123,AB153,1)),1-TDIST((AB$117-100*LN(AB158))/AB$123,AB153,1),TDIST((100*LN(AB158)-AB$117)/AB$123,AB153,1))*100</f>
        <v>#VALUE!</v>
      </c>
      <c r="AC160" s="67" t="e">
        <f>IF(ISERROR(TDIST((100*LN(AC158)-AC$117)/AC$123,AC153,1)),1-TDIST((AC$117-100*LN(AC158))/AC$123,AC153,1),TDIST((100*LN(AC158)-AC$117)/AC$123,AC153,1))*100</f>
        <v>#VALUE!</v>
      </c>
      <c r="AD160" s="67" t="e">
        <f>IF(ISERROR(TDIST((100*LN(AD158)-AD$117)/AD$123,AD153,1)),1-TDIST((AD$117-100*LN(AD158))/AD$123,AD153,1),TDIST((100*LN(AD158)-AD$117)/AD$123,AD153,1))*100</f>
        <v>#VALUE!</v>
      </c>
      <c r="AE160" s="67" t="e">
        <f>IF(ISERROR(TDIST((100*LN(AE158)-AE$117)/AE$123,AE153,1)),1-TDIST((AE$117-100*LN(AE158))/AE$123,AE153,1),TDIST((100*LN(AE158)-AE$117)/AE$123,AE153,1))*100</f>
        <v>#DIV/0!</v>
      </c>
    </row>
    <row r="161" spans="2:31" s="52" customFormat="1" ht="29.25" customHeight="1" x14ac:dyDescent="0.25">
      <c r="B161" s="50"/>
      <c r="C161" s="50"/>
      <c r="D161" s="185"/>
      <c r="E161" s="50"/>
      <c r="F161" s="50"/>
      <c r="G161" s="50"/>
      <c r="H161" s="50"/>
      <c r="I161" s="50"/>
      <c r="J161" s="50"/>
      <c r="K161" s="50"/>
      <c r="L161" s="50"/>
      <c r="M161" s="50"/>
      <c r="N161" s="50"/>
      <c r="O161" s="50"/>
      <c r="R161" s="395"/>
      <c r="S161" s="428"/>
      <c r="T161" s="124"/>
      <c r="U161" s="19" t="e">
        <f>IF(U160&lt;0.5,"most unlikely",IF(U160&lt;5,"very unlikely",IF(U160&lt;25,"unlikely",IF(U160&lt;75,"possibly",IF(U160&lt;95,"likely",IF(U160&lt;99.5,"very likely","most likely"))))))</f>
        <v>#VALUE!</v>
      </c>
      <c r="V161" s="19" t="e">
        <f>IF(V160&lt;0.5,"most unlikely",IF(V160&lt;5,"very unlikely",IF(V160&lt;25,"unlikely",IF(V160&lt;75,"possibly",IF(V160&lt;95,"likely",IF(V160&lt;99.5,"very likely","most likely"))))))</f>
        <v>#VALUE!</v>
      </c>
      <c r="Y161" s="395"/>
      <c r="Z161" s="428"/>
      <c r="AA161" s="19" t="e">
        <f>IF(AA160&lt;0.5,"most unlikely",IF(AA160&lt;5,"very unlikely",IF(AA160&lt;25,"unlikely",IF(AA160&lt;75,"possibly",IF(AA160&lt;95,"likely",IF(AA160&lt;99.5,"very likely","most likely"))))))</f>
        <v>#VALUE!</v>
      </c>
      <c r="AB161" s="19" t="e">
        <f>IF(AB160&lt;0.5,"most unlikely",IF(AB160&lt;5,"very unlikely",IF(AB160&lt;25,"unlikely",IF(AB160&lt;75,"possibly",IF(AB160&lt;95,"likely",IF(AB160&lt;99.5,"very likely","most likely"))))))</f>
        <v>#VALUE!</v>
      </c>
      <c r="AC161" s="19" t="e">
        <f>IF(AC160&lt;0.5,"most unlikely",IF(AC160&lt;5,"very unlikely",IF(AC160&lt;25,"unlikely",IF(AC160&lt;75,"possibly",IF(AC160&lt;95,"likely",IF(AC160&lt;99.5,"very likely","most likely"))))))</f>
        <v>#VALUE!</v>
      </c>
      <c r="AD161" s="19" t="e">
        <f>IF(AD160&lt;0.5,"most unlikely",IF(AD160&lt;5,"very unlikely",IF(AD160&lt;25,"unlikely",IF(AD160&lt;75,"possibly",IF(AD160&lt;95,"likely",IF(AD160&lt;99.5,"very likely","most likely"))))))</f>
        <v>#VALUE!</v>
      </c>
      <c r="AE161" s="19" t="e">
        <f>IF(AE160&lt;0.5,"most unlikely",IF(AE160&lt;5,"very unlikely",IF(AE160&lt;25,"unlikely",IF(AE160&lt;75,"possibly",IF(AE160&lt;95,"likely",IF(AE160&lt;99.5,"very likely","most likely"))))))</f>
        <v>#DIV/0!</v>
      </c>
    </row>
    <row r="162" spans="2:31" s="52" customFormat="1" x14ac:dyDescent="0.25">
      <c r="R162" s="395"/>
      <c r="S162" s="432" t="s">
        <v>12</v>
      </c>
      <c r="T162" s="126"/>
      <c r="U162" s="67" t="e">
        <f>100-U160-U164</f>
        <v>#VALUE!</v>
      </c>
      <c r="V162" s="67" t="e">
        <f>100-V160-V164</f>
        <v>#VALUE!</v>
      </c>
      <c r="Y162" s="395"/>
      <c r="Z162" s="432" t="s">
        <v>12</v>
      </c>
      <c r="AA162" s="67" t="e">
        <f>100-AA160-AA164</f>
        <v>#VALUE!</v>
      </c>
      <c r="AB162" s="67" t="e">
        <f>100-AB160-AB164</f>
        <v>#VALUE!</v>
      </c>
      <c r="AC162" s="67" t="e">
        <f>100-AC160-AC164</f>
        <v>#VALUE!</v>
      </c>
      <c r="AD162" s="67" t="e">
        <f>100-AD160-AD164</f>
        <v>#VALUE!</v>
      </c>
      <c r="AE162" s="67" t="e">
        <f>100-AE160-AE164</f>
        <v>#DIV/0!</v>
      </c>
    </row>
    <row r="163" spans="2:31" s="52" customFormat="1" ht="30.75" customHeight="1" x14ac:dyDescent="0.25">
      <c r="R163" s="395"/>
      <c r="S163" s="433"/>
      <c r="T163" s="127"/>
      <c r="U163" s="19" t="e">
        <f>IF(U162&lt;0.5,"most unlikely",IF(U162&lt;5,"very unlikely",IF(U162&lt;25,"unlikely",IF(U162&lt;75,"possibly",IF(U162&lt;95,"likely",IF(U162&lt;99.5,"very likely","most likely"))))))</f>
        <v>#VALUE!</v>
      </c>
      <c r="V163" s="19" t="e">
        <f>IF(V162&lt;0.5,"most unlikely",IF(V162&lt;5,"very unlikely",IF(V162&lt;25,"unlikely",IF(V162&lt;75,"possibly",IF(V162&lt;95,"likely",IF(V162&lt;99.5,"very likely","most likely"))))))</f>
        <v>#VALUE!</v>
      </c>
      <c r="Y163" s="395"/>
      <c r="Z163" s="433"/>
      <c r="AA163" s="19" t="e">
        <f>IF(AA162&lt;0.5,"most unlikely",IF(AA162&lt;5,"very unlikely",IF(AA162&lt;25,"unlikely",IF(AA162&lt;75,"possibly",IF(AA162&lt;95,"likely",IF(AA162&lt;99.5,"very likely","most likely"))))))</f>
        <v>#VALUE!</v>
      </c>
      <c r="AB163" s="19" t="e">
        <f>IF(AB162&lt;0.5,"most unlikely",IF(AB162&lt;5,"very unlikely",IF(AB162&lt;25,"unlikely",IF(AB162&lt;75,"possibly",IF(AB162&lt;95,"likely",IF(AB162&lt;99.5,"very likely","most likely"))))))</f>
        <v>#VALUE!</v>
      </c>
      <c r="AC163" s="19" t="e">
        <f>IF(AC162&lt;0.5,"most unlikely",IF(AC162&lt;5,"very unlikely",IF(AC162&lt;25,"unlikely",IF(AC162&lt;75,"possibly",IF(AC162&lt;95,"likely",IF(AC162&lt;99.5,"very likely","most likely"))))))</f>
        <v>#VALUE!</v>
      </c>
      <c r="AD163" s="19" t="e">
        <f>IF(AD162&lt;0.5,"most unlikely",IF(AD162&lt;5,"very unlikely",IF(AD162&lt;25,"unlikely",IF(AD162&lt;75,"possibly",IF(AD162&lt;95,"likely",IF(AD162&lt;99.5,"very likely","most likely"))))))</f>
        <v>#VALUE!</v>
      </c>
      <c r="AE163" s="19" t="e">
        <f>IF(AE162&lt;0.5,"most unlikely",IF(AE162&lt;5,"very unlikely",IF(AE162&lt;25,"unlikely",IF(AE162&lt;75,"possibly",IF(AE162&lt;95,"likely",IF(AE162&lt;99.5,"very likely","most likely"))))))</f>
        <v>#DIV/0!</v>
      </c>
    </row>
    <row r="164" spans="2:31" s="52" customFormat="1" ht="13.2" customHeight="1" x14ac:dyDescent="0.25">
      <c r="R164" s="395"/>
      <c r="S164" s="396" t="str">
        <f>"a substantial decrease (&lt;) or "&amp;IF($C$29&lt;1,"harmful","beneficial")</f>
        <v>a substantial decrease (&lt;) or harmful</v>
      </c>
      <c r="T164" s="128"/>
      <c r="U164" s="67" t="e">
        <f>IF(ISERROR(TDIST((100*LN(U159)-U$117)/U$123,U153,1)),TDIST((U$117-100*LN(U159))/U$123,U153,1),1-TDIST((100*LN(U159)-U$117)/U$123,U153,1))*100</f>
        <v>#VALUE!</v>
      </c>
      <c r="V164" s="67" t="e">
        <f>IF(ISERROR(TDIST((100*LN(V159)-V$117)/V$123,V153,1)),TDIST((V$117-100*LN(V159))/V$123,V153,1),1-TDIST((100*LN(V159)-V$117)/V$123,V153,1))*100</f>
        <v>#VALUE!</v>
      </c>
      <c r="Y164" s="395"/>
      <c r="Z164" s="396" t="str">
        <f>"a substantial decrease (&lt;) or "&amp;IF($C$29&lt;1,"harmful","beneficial")</f>
        <v>a substantial decrease (&lt;) or harmful</v>
      </c>
      <c r="AA164" s="67" t="e">
        <f>IF(ISERROR(TDIST((100*LN(AA159)-AA$117)/AA$123,AA153,1)),TDIST((AA$117-100*LN(AA159))/AA$123,AA153,1),1-TDIST((100*LN(AA159)-AA$117)/AA$123,AA153,1))*100</f>
        <v>#VALUE!</v>
      </c>
      <c r="AB164" s="67" t="e">
        <f>IF(ISERROR(TDIST((100*LN(AB159)-AB$117)/AB$123,AB153,1)),TDIST((AB$117-100*LN(AB159))/AB$123,AB153,1),1-TDIST((100*LN(AB159)-AB$117)/AB$123,AB153,1))*100</f>
        <v>#VALUE!</v>
      </c>
      <c r="AC164" s="67" t="e">
        <f>IF(ISERROR(TDIST((100*LN(AC159)-AC$117)/AC$123,AC153,1)),TDIST((AC$117-100*LN(AC159))/AC$123,AC153,1),1-TDIST((100*LN(AC159)-AC$117)/AC$123,AC153,1))*100</f>
        <v>#VALUE!</v>
      </c>
      <c r="AD164" s="67" t="e">
        <f>IF(ISERROR(TDIST((100*LN(AD159)-AD$117)/AD$123,AD153,1)),TDIST((AD$117-100*LN(AD159))/AD$123,AD153,1),1-TDIST((100*LN(AD159)-AD$117)/AD$123,AD153,1))*100</f>
        <v>#VALUE!</v>
      </c>
      <c r="AE164" s="67" t="e">
        <f>IF(ISERROR(TDIST((100*LN(AE159)-AE$117)/AE$123,AE153,1)),TDIST((AE$117-100*LN(AE159))/AE$123,AE153,1),1-TDIST((100*LN(AE159)-AE$117)/AE$123,AE153,1))*100</f>
        <v>#DIV/0!</v>
      </c>
    </row>
    <row r="165" spans="2:31" s="52" customFormat="1" ht="30.75" customHeight="1" x14ac:dyDescent="0.25">
      <c r="R165" s="395"/>
      <c r="S165" s="397"/>
      <c r="T165" s="129"/>
      <c r="U165" s="19" t="e">
        <f>IF(U164&lt;0.5,"most unlikely",IF(U164&lt;5,"very unlikely",IF(U164&lt;25,"unlikely",IF(U164&lt;75,"possibly",IF(U164&lt;95,"likely",IF(U164&lt;99.5,"very likely","most likely"))))))</f>
        <v>#VALUE!</v>
      </c>
      <c r="V165" s="19" t="e">
        <f>IF(V164&lt;0.5,"most unlikely",IF(V164&lt;5,"very unlikely",IF(V164&lt;25,"unlikely",IF(V164&lt;75,"possibly",IF(V164&lt;95,"likely",IF(V164&lt;99.5,"very likely","most likely"))))))</f>
        <v>#VALUE!</v>
      </c>
      <c r="Y165" s="395"/>
      <c r="Z165" s="397"/>
      <c r="AA165" s="19" t="e">
        <f>IF(AA164&lt;0.5,"most unlikely",IF(AA164&lt;5,"very unlikely",IF(AA164&lt;25,"unlikely",IF(AA164&lt;75,"possibly",IF(AA164&lt;95,"likely",IF(AA164&lt;99.5,"very likely","most likely"))))))</f>
        <v>#VALUE!</v>
      </c>
      <c r="AB165" s="19" t="e">
        <f>IF(AB164&lt;0.5,"most unlikely",IF(AB164&lt;5,"very unlikely",IF(AB164&lt;25,"unlikely",IF(AB164&lt;75,"possibly",IF(AB164&lt;95,"likely",IF(AB164&lt;99.5,"very likely","most likely"))))))</f>
        <v>#VALUE!</v>
      </c>
      <c r="AC165" s="19" t="e">
        <f>IF(AC164&lt;0.5,"most unlikely",IF(AC164&lt;5,"very unlikely",IF(AC164&lt;25,"unlikely",IF(AC164&lt;75,"possibly",IF(AC164&lt;95,"likely",IF(AC164&lt;99.5,"very likely","most likely"))))))</f>
        <v>#VALUE!</v>
      </c>
      <c r="AD165" s="19" t="e">
        <f>IF(AD164&lt;0.5,"most unlikely",IF(AD164&lt;5,"very unlikely",IF(AD164&lt;25,"unlikely",IF(AD164&lt;75,"possibly",IF(AD164&lt;95,"likely",IF(AD164&lt;99.5,"very likely","most likely"))))))</f>
        <v>#VALUE!</v>
      </c>
      <c r="AE165" s="19" t="e">
        <f>IF(AE164&lt;0.5,"most unlikely",IF(AE164&lt;5,"very unlikely",IF(AE164&lt;25,"unlikely",IF(AE164&lt;75,"possibly",IF(AE164&lt;95,"likely",IF(AE164&lt;99.5,"very likely","most likely"))))))</f>
        <v>#DIV/0!</v>
      </c>
    </row>
    <row r="166" spans="2:31" ht="33.9" customHeight="1" x14ac:dyDescent="0.25">
      <c r="R166" s="382" t="str">
        <f>"Non-clinical inference, based on threshold chances of "&amp;(100-$E$33)/2&amp;"% for substantial magnitudes"</f>
        <v>Non-clinical inference, based on threshold chances of 5% for substantial magnitudes</v>
      </c>
      <c r="S166" s="383"/>
      <c r="T166" s="253"/>
      <c r="U166" s="278" t="e">
        <f>IF(MIN(U160,U164)&gt;(100-U152)/2,"unclear; get more data",IF(U162&gt;75,U163&amp;" trivial",IF(U160&gt;5,U161&amp;" +ive",U165&amp;" –ive")))</f>
        <v>#VALUE!</v>
      </c>
      <c r="V166" s="278" t="e">
        <f>IF(MIN(V160,V164)&gt;(100-V152)/2,"unclear; get more data",IF(V162&gt;75,V163&amp;" trivial",IF(V160&gt;5,V161&amp;" +ive",V165&amp;" –ive")))</f>
        <v>#VALUE!</v>
      </c>
      <c r="W166" s="22"/>
      <c r="X166" s="22"/>
      <c r="Y166" s="382" t="str">
        <f>"Non-clinical inference, based on threshold chances of "&amp;(100-$E$33)/2&amp;"% for substantial magnitudes"</f>
        <v>Non-clinical inference, based on threshold chances of 5% for substantial magnitudes</v>
      </c>
      <c r="Z166" s="383"/>
      <c r="AA166" s="278" t="e">
        <f>IF(MIN(AA160,AA164)&gt;(100-AA152)/2,"unclear; get more data",IF(AA162&gt;75,AA163&amp;" trivial",IF(AA160&gt;5,AA161&amp;" +ive",AA165&amp;" –ive")))</f>
        <v>#VALUE!</v>
      </c>
      <c r="AB166" s="278" t="e">
        <f>IF(MIN(AB160,AB164)&gt;(100-AB152)/2,"unclear; get more data",IF(AB162&gt;75,AB163&amp;" trivial",IF(AB160&gt;5,AB161&amp;" +ive",AB165&amp;" –ive")))</f>
        <v>#VALUE!</v>
      </c>
      <c r="AC166" s="278" t="e">
        <f>IF(MIN(AC160,AC164)&gt;(100-AC152)/2,"unclear; get more data",IF(AC162&gt;75,AC163&amp;" trivial",IF(AC160&gt;5,AC161&amp;" +ive",AC165&amp;" –ive")))</f>
        <v>#VALUE!</v>
      </c>
      <c r="AD166" s="278" t="e">
        <f>IF(MIN(AD160,AD164)&gt;(100-AD152)/2,"unclear; get more data",IF(AD162&gt;75,AD163&amp;" trivial",IF(AD160&gt;5,AD161&amp;" +ive",AD165&amp;" –ive")))</f>
        <v>#VALUE!</v>
      </c>
      <c r="AE166" s="278" t="e">
        <f>IF(MIN(AE160,AE164)&gt;(100-AE152)/2,"unclear; get more data",IF(AE162&gt;75,AE163&amp;" trivial",IF(AE160&gt;5,AE161&amp;" +ive",AE165&amp;" –ive")))</f>
        <v>#DIV/0!</v>
      </c>
    </row>
    <row r="167" spans="2:31" ht="33.9" customHeight="1" x14ac:dyDescent="0.25">
      <c r="R167" s="382"/>
      <c r="S167" s="383"/>
      <c r="T167" s="253"/>
      <c r="U167" s="278"/>
      <c r="V167" s="278"/>
      <c r="W167" s="22"/>
      <c r="X167" s="22"/>
      <c r="Y167" s="382" t="str">
        <f>"Clinical inference, based on threshold chances of harm and benefit of "&amp;$E$36&amp;"% and "&amp;$E$37&amp;"%"</f>
        <v>Clinical inference, based on threshold chances of harm and benefit of 0.5% and 25%</v>
      </c>
      <c r="Z167" s="383"/>
      <c r="AA167" s="278" t="e">
        <f>IF($C$29&gt;1,IF(AA164&gt;$E$37,IF(AA160&lt;$E$36,AA165&amp;" beneficial","unclear; get more data"),IF(AA160&gt;25,AA161&amp;" harmful",AA163&amp;" trivial")),IF(AA160&gt;$E$37,IF(AA164&lt;$E$36,AA161&amp;" beneficial","unclear; get more data"),IF(AA164&gt;25,AA165&amp;" harmful",AA163&amp;" trivial")))</f>
        <v>#VALUE!</v>
      </c>
      <c r="AB167" s="278" t="e">
        <f>IF($C$29&gt;1,IF(AB164&gt;$E$37,IF(AB160&lt;$E$36,AB165&amp;" beneficial","unclear; get more data"),IF(AB160&gt;25,AB161&amp;" harmful",AB163&amp;" trivial")),IF(AB160&gt;$E$37,IF(AB164&lt;$E$36,AB161&amp;" beneficial","unclear; get more data"),IF(AB164&gt;25,AB165&amp;" harmful",AB163&amp;" trivial")))</f>
        <v>#VALUE!</v>
      </c>
      <c r="AC167" s="278" t="e">
        <f>IF($C$29&gt;1,IF(AC164&gt;$E$37,IF(AC160&lt;$E$36,AC165&amp;" beneficial","unclear; get more data"),IF(AC160&gt;25,AC161&amp;" harmful",AC163&amp;" trivial")),IF(AC160&gt;$E$37,IF(AC164&lt;$E$36,AC161&amp;" beneficial","unclear; get more data"),IF(AC164&gt;25,AC165&amp;" harmful",AC163&amp;" trivial")))</f>
        <v>#VALUE!</v>
      </c>
      <c r="AD167" s="278" t="e">
        <f>IF($C$29&gt;1,IF(AD164&gt;$E$37,IF(AD160&lt;$E$36,AD165&amp;" beneficial","unclear; get more data"),IF(AD160&gt;25,AD161&amp;" harmful",AD163&amp;" trivial")),IF(AD160&gt;$E$37,IF(AD164&lt;$E$36,AD161&amp;" beneficial","unclear; get more data"),IF(AD164&gt;25,AD165&amp;" harmful",AD163&amp;" trivial")))</f>
        <v>#VALUE!</v>
      </c>
      <c r="AE167" s="278" t="e">
        <f>IF($C$29&gt;1,IF(AE164&gt;$E$37,IF(AE160&lt;$E$36,AE165&amp;" beneficial","unclear; get more data"),IF(AE160&gt;25,AE161&amp;" harmful",AE163&amp;" trivial")),IF(AE160&gt;$E$37,IF(AE164&lt;$E$36,AE161&amp;" beneficial","unclear; get more data"),IF(AE164&gt;25,AE165&amp;" harmful",AE163&amp;" trivial")))</f>
        <v>#DIV/0!</v>
      </c>
    </row>
    <row r="168" spans="2:31" ht="12.6" customHeight="1" x14ac:dyDescent="0.25">
      <c r="R168" s="382"/>
      <c r="S168" s="383"/>
      <c r="T168" s="279"/>
      <c r="U168" s="295"/>
      <c r="V168" s="295"/>
      <c r="W168" s="22"/>
      <c r="X168" s="22"/>
      <c r="Y168" s="382" t="s">
        <v>182</v>
      </c>
      <c r="Z168" s="383"/>
      <c r="AA168" s="295" t="e">
        <f>IF($C$29&gt;1,AA164/(100-AA164)/(AA160/(100-AA160)),AA160/(100-AA160)/(AA164/(100-AA164)))</f>
        <v>#VALUE!</v>
      </c>
      <c r="AB168" s="295" t="e">
        <f>IF($C$29&gt;1,AB164/(100-AB164)/(AB160/(100-AB160)),AB160/(100-AB160)/(AB164/(100-AB164)))</f>
        <v>#VALUE!</v>
      </c>
      <c r="AC168" s="295" t="e">
        <f>IF($C$29&gt;1,AC164/(100-AC164)/(AC160/(100-AC160)),AC160/(100-AC160)/(AC164/(100-AC164)))</f>
        <v>#VALUE!</v>
      </c>
      <c r="AD168" s="295" t="e">
        <f>IF($C$29&gt;1,AD164/(100-AD164)/(AD160/(100-AD160)),AD160/(100-AD160)/(AD164/(100-AD164)))</f>
        <v>#VALUE!</v>
      </c>
      <c r="AE168" s="295" t="e">
        <f>IF($C$29&gt;1,AE164/(100-AE164)/(AE160/(100-AE160)),AE160/(100-AE160)/(AE164/(100-AE164)))</f>
        <v>#DIV/0!</v>
      </c>
    </row>
    <row r="169" spans="2:31" ht="33.9" customHeight="1" x14ac:dyDescent="0.25">
      <c r="R169" s="382"/>
      <c r="S169" s="383"/>
      <c r="T169" s="279"/>
      <c r="U169" s="253"/>
      <c r="V169" s="253"/>
      <c r="W169" s="22"/>
      <c r="X169" s="22"/>
      <c r="Y169" s="382" t="str">
        <f>"Clinical inference as above, but declaring beneficial when odds ratio of benefit/harm is &gt;"&amp;$E$38</f>
        <v>Clinical inference as above, but declaring beneficial when odds ratio of benefit/harm is &gt;66</v>
      </c>
      <c r="Z169" s="383"/>
      <c r="AA169" s="253" t="e">
        <f>IF(AA168&gt;$E$38,IF($C$29&gt;1,AA165,AA161)&amp;" beneficial",IF($C$29&gt;1,IF(AA164&gt;$E$37,IF(AA160&lt;$E$36,AA165&amp;" beneficial","unclear; get more data"),IF(AA160&gt;25,AA161&amp;" harmful",AA163&amp;" trivial")),IF(AA160&gt;$E$37,IF(AA164&lt;$E$36,AA161&amp;" beneficial","unclear; get more data"),IF(AA164&gt;25,AA165&amp;" harmful",AA163&amp;" trivial"))))</f>
        <v>#VALUE!</v>
      </c>
      <c r="AB169" s="253" t="e">
        <f>IF(AB168&gt;$E$38,IF($C$29&gt;1,AB165,AB161)&amp;" beneficial",IF($C$29&gt;1,IF(AB164&gt;$E$37,IF(AB160&lt;$E$36,AB165&amp;" beneficial","unclear; get more data"),IF(AB160&gt;25,AB161&amp;" harmful",AB163&amp;" trivial")),IF(AB160&gt;$E$37,IF(AB164&lt;$E$36,AB161&amp;" beneficial","unclear; get more data"),IF(AB164&gt;25,AB165&amp;" harmful",AB163&amp;" trivial"))))</f>
        <v>#VALUE!</v>
      </c>
      <c r="AC169" s="253" t="e">
        <f>IF(AC168&gt;$E$38,IF($C$29&gt;1,AC165,AC161)&amp;" beneficial",IF($C$29&gt;1,IF(AC164&gt;$E$37,IF(AC160&lt;$E$36,AC165&amp;" beneficial","unclear; get more data"),IF(AC160&gt;25,AC161&amp;" harmful",AC163&amp;" trivial")),IF(AC160&gt;$E$37,IF(AC164&lt;$E$36,AC161&amp;" beneficial","unclear; get more data"),IF(AC164&gt;25,AC165&amp;" harmful",AC163&amp;" trivial"))))</f>
        <v>#VALUE!</v>
      </c>
      <c r="AD169" s="253" t="e">
        <f>IF(AD168&gt;$E$38,IF($C$29&gt;1,AD165,AD161)&amp;" beneficial",IF($C$29&gt;1,IF(AD164&gt;$E$37,IF(AD160&lt;$E$36,AD165&amp;" beneficial","unclear; get more data"),IF(AD160&gt;25,AD161&amp;" harmful",AD163&amp;" trivial")),IF(AD160&gt;$E$37,IF(AD164&lt;$E$36,AD161&amp;" beneficial","unclear; get more data"),IF(AD164&gt;25,AD165&amp;" harmful",AD163&amp;" trivial"))))</f>
        <v>#VALUE!</v>
      </c>
      <c r="AE169" s="253" t="e">
        <f>IF(AE168&gt;$E$38,IF($C$29&gt;1,AE165,AE161)&amp;" beneficial",IF($C$29&gt;1,IF(AE164&gt;$E$37,IF(AE160&lt;$E$36,AE165&amp;" beneficial","unclear; get more data"),IF(AE160&gt;25,AE161&amp;" harmful",AE163&amp;" trivial")),IF(AE160&gt;$E$37,IF(AE164&lt;$E$36,AE161&amp;" beneficial","unclear; get more data"),IF(AE164&gt;25,AE165&amp;" harmful",AE163&amp;" trivial"))))</f>
        <v>#DIV/0!</v>
      </c>
    </row>
    <row r="170" spans="2:31" x14ac:dyDescent="0.25">
      <c r="R170" s="20"/>
      <c r="S170" s="38"/>
      <c r="T170" s="38"/>
      <c r="U170" s="39"/>
      <c r="V170" s="39"/>
      <c r="Y170" s="32"/>
      <c r="Z170" s="22"/>
      <c r="AA170" s="22"/>
      <c r="AB170" s="22"/>
      <c r="AC170" s="33"/>
      <c r="AD170" s="33"/>
      <c r="AE170" s="33"/>
    </row>
    <row r="171" spans="2:31" x14ac:dyDescent="0.25">
      <c r="R171" s="398" t="s">
        <v>159</v>
      </c>
      <c r="S171" s="399"/>
      <c r="T171" s="35"/>
      <c r="U171" s="53">
        <f t="shared" ref="U171:V173" si="44">EXP(U258/100)</f>
        <v>0.99621021173851032</v>
      </c>
      <c r="V171" s="53">
        <f t="shared" si="44"/>
        <v>1.0252435527001278</v>
      </c>
      <c r="Y171" s="398" t="s">
        <v>136</v>
      </c>
      <c r="Z171" s="399"/>
      <c r="AA171" s="53">
        <f t="shared" ref="AA171:AE173" si="45">EXP(AA258/100)</f>
        <v>1.0186199559977749</v>
      </c>
      <c r="AB171" s="53">
        <f t="shared" si="45"/>
        <v>1.0234711503542624</v>
      </c>
      <c r="AC171" s="53">
        <f t="shared" si="45"/>
        <v>1.0400415988568121</v>
      </c>
      <c r="AD171" s="53">
        <f t="shared" si="45"/>
        <v>1.0274927954993298</v>
      </c>
      <c r="AE171" s="53" t="e">
        <f t="shared" si="45"/>
        <v>#DIV/0!</v>
      </c>
    </row>
    <row r="172" spans="2:31" ht="12.75" customHeight="1" x14ac:dyDescent="0.25">
      <c r="R172" s="390" t="s">
        <v>131</v>
      </c>
      <c r="S172" s="21" t="s">
        <v>9</v>
      </c>
      <c r="T172" s="21"/>
      <c r="U172" s="53">
        <f t="shared" si="44"/>
        <v>0.95370580573405894</v>
      </c>
      <c r="V172" s="53">
        <f t="shared" si="44"/>
        <v>0.95980951446319818</v>
      </c>
      <c r="Y172" s="390" t="s">
        <v>131</v>
      </c>
      <c r="Z172" s="21" t="s">
        <v>9</v>
      </c>
      <c r="AA172" s="53">
        <f t="shared" si="45"/>
        <v>0.97822286449485607</v>
      </c>
      <c r="AB172" s="53">
        <f t="shared" si="45"/>
        <v>0.9825899576292072</v>
      </c>
      <c r="AC172" s="53">
        <f t="shared" si="45"/>
        <v>1.0205017129385019</v>
      </c>
      <c r="AD172" s="53">
        <f t="shared" si="45"/>
        <v>0.98053640961485766</v>
      </c>
      <c r="AE172" s="53" t="e">
        <f t="shared" si="45"/>
        <v>#DIV/0!</v>
      </c>
    </row>
    <row r="173" spans="2:31" ht="12.75" customHeight="1" x14ac:dyDescent="0.25">
      <c r="R173" s="391"/>
      <c r="S173" s="11" t="s">
        <v>10</v>
      </c>
      <c r="T173" s="11"/>
      <c r="U173" s="53">
        <f t="shared" si="44"/>
        <v>1.0482214746161778</v>
      </c>
      <c r="V173" s="53">
        <f t="shared" si="44"/>
        <v>1.055579380915689</v>
      </c>
      <c r="Y173" s="391"/>
      <c r="Z173" s="11" t="s">
        <v>10</v>
      </c>
      <c r="AA173" s="53">
        <f t="shared" si="45"/>
        <v>1.0347287475797815</v>
      </c>
      <c r="AB173" s="53">
        <f t="shared" si="45"/>
        <v>1.0379160144662851</v>
      </c>
      <c r="AC173" s="53">
        <f t="shared" si="45"/>
        <v>1.0530399648788014</v>
      </c>
      <c r="AD173" s="53">
        <f t="shared" si="45"/>
        <v>1.0440410476136046</v>
      </c>
      <c r="AE173" s="53" t="e">
        <f t="shared" si="45"/>
        <v>#DIV/0!</v>
      </c>
    </row>
    <row r="174" spans="2:31" s="111" customFormat="1" x14ac:dyDescent="0.25"/>
    <row r="175" spans="2:31" x14ac:dyDescent="0.25">
      <c r="B175" s="111" t="s">
        <v>4</v>
      </c>
      <c r="D175" s="111" t="str">
        <f>CONCATENATE($B$73,"-",$B$42," difference")</f>
        <v>Exptal-Control difference</v>
      </c>
      <c r="G175" s="81"/>
      <c r="H175" s="22"/>
      <c r="I175" s="111" t="s">
        <v>4</v>
      </c>
      <c r="K175" s="111" t="str">
        <f>CONCATENATE($B$73,"-",$B$42," difference")</f>
        <v>Exptal-Control difference</v>
      </c>
      <c r="R175" s="111" t="s">
        <v>5</v>
      </c>
      <c r="U175" s="111" t="str">
        <f>CONCATENATE($B$73,"-",$B$42," difference")</f>
        <v>Exptal-Control difference</v>
      </c>
      <c r="V175" s="111"/>
      <c r="Y175" s="111" t="s">
        <v>5</v>
      </c>
      <c r="AA175" s="111" t="str">
        <f>CONCATENATE($B$73,"-",$B$42," difference")</f>
        <v>Exptal-Control difference</v>
      </c>
    </row>
    <row r="176" spans="2:31" s="115" customFormat="1" ht="30" customHeight="1" x14ac:dyDescent="0.3">
      <c r="B176" s="438" t="s">
        <v>194</v>
      </c>
      <c r="C176" s="439"/>
      <c r="D176" s="188"/>
      <c r="E176" s="120" t="str">
        <f>E41</f>
        <v>Pre1</v>
      </c>
      <c r="F176" s="120" t="str">
        <f>F41</f>
        <v>Pre2</v>
      </c>
      <c r="I176" s="392" t="s">
        <v>193</v>
      </c>
      <c r="J176" s="393"/>
      <c r="K176" s="120" t="str">
        <f>K41</f>
        <v>Pre2-Pre1</v>
      </c>
      <c r="L176" s="120" t="str">
        <f>L41</f>
        <v>Post1-Pre2</v>
      </c>
      <c r="M176" s="120" t="str">
        <f>M41</f>
        <v>Post2-Pre2</v>
      </c>
      <c r="N176" s="120" t="str">
        <f>N41</f>
        <v>Post2-Post1</v>
      </c>
      <c r="O176" s="120" t="str">
        <f>O41</f>
        <v>other effect</v>
      </c>
      <c r="R176" s="438" t="s">
        <v>194</v>
      </c>
      <c r="S176" s="439"/>
      <c r="T176" s="188"/>
      <c r="U176" s="120" t="str">
        <f>U41</f>
        <v>Pre1</v>
      </c>
      <c r="V176" s="120" t="str">
        <f>V41</f>
        <v>Pre2</v>
      </c>
      <c r="Y176" s="392" t="s">
        <v>193</v>
      </c>
      <c r="Z176" s="393"/>
      <c r="AA176" s="120" t="str">
        <f>AA41</f>
        <v>Pre2-Pre1</v>
      </c>
      <c r="AB176" s="120" t="str">
        <f>AB41</f>
        <v>Post1-Pre2</v>
      </c>
      <c r="AC176" s="120" t="str">
        <f>AC41</f>
        <v>Post2-Pre2</v>
      </c>
      <c r="AD176" s="120" t="str">
        <f>AD41</f>
        <v>Post2-Post1</v>
      </c>
      <c r="AE176" s="120" t="str">
        <f>AE41</f>
        <v>other effect</v>
      </c>
    </row>
    <row r="177" spans="2:31" s="323" customFormat="1" x14ac:dyDescent="0.25">
      <c r="B177" s="320"/>
      <c r="C177" s="321" t="s">
        <v>130</v>
      </c>
      <c r="D177" s="325">
        <f>$E$35</f>
        <v>90</v>
      </c>
      <c r="E177" s="325">
        <f>$E$35</f>
        <v>90</v>
      </c>
      <c r="F177" s="325">
        <f>$E$35</f>
        <v>90</v>
      </c>
      <c r="I177" s="324"/>
      <c r="J177" s="321" t="s">
        <v>130</v>
      </c>
      <c r="K177" s="325">
        <f>$E$35</f>
        <v>90</v>
      </c>
      <c r="L177" s="325">
        <f>$E$35</f>
        <v>90</v>
      </c>
      <c r="M177" s="325">
        <f>$E$35</f>
        <v>90</v>
      </c>
      <c r="N177" s="325">
        <f>$E$35</f>
        <v>90</v>
      </c>
      <c r="O177" s="325">
        <f>$E$35</f>
        <v>90</v>
      </c>
      <c r="R177" s="324"/>
      <c r="S177" s="321" t="s">
        <v>130</v>
      </c>
      <c r="T177" s="325"/>
      <c r="U177" s="322">
        <f>$E$35</f>
        <v>90</v>
      </c>
      <c r="V177" s="322">
        <f>$E$35</f>
        <v>90</v>
      </c>
      <c r="Y177" s="324"/>
      <c r="Z177" s="321" t="s">
        <v>130</v>
      </c>
      <c r="AA177" s="322">
        <f>$E$35</f>
        <v>90</v>
      </c>
      <c r="AB177" s="322">
        <f>$E$35</f>
        <v>90</v>
      </c>
      <c r="AC177" s="322">
        <f>$E$35</f>
        <v>90</v>
      </c>
      <c r="AD177" s="322">
        <f>$E$35</f>
        <v>90</v>
      </c>
      <c r="AE177" s="322">
        <f>$E$35</f>
        <v>90</v>
      </c>
    </row>
    <row r="178" spans="2:31" ht="12.75" customHeight="1" x14ac:dyDescent="0.25">
      <c r="B178" s="20"/>
      <c r="C178" s="23" t="s">
        <v>129</v>
      </c>
      <c r="D178" s="31">
        <f>D128</f>
        <v>36.522390431992946</v>
      </c>
      <c r="E178" s="31">
        <f>E128</f>
        <v>37.882044844186858</v>
      </c>
      <c r="F178" s="31">
        <f>F128</f>
        <v>37.855696617834489</v>
      </c>
      <c r="I178" s="20"/>
      <c r="J178" s="23" t="s">
        <v>129</v>
      </c>
      <c r="K178" s="31">
        <f>K122</f>
        <v>37.353422930651298</v>
      </c>
      <c r="L178" s="31">
        <f>L122</f>
        <v>35.270771079252434</v>
      </c>
      <c r="M178" s="31">
        <f>M122</f>
        <v>28.458687065635782</v>
      </c>
      <c r="N178" s="31">
        <f>N122</f>
        <v>35.831441142288668</v>
      </c>
      <c r="O178" s="36" t="e">
        <f>O122</f>
        <v>#DIV/0!</v>
      </c>
      <c r="R178" s="20"/>
      <c r="S178" s="23" t="s">
        <v>129</v>
      </c>
      <c r="T178" s="23"/>
      <c r="U178" s="31">
        <f>U122</f>
        <v>37.999774306951309</v>
      </c>
      <c r="V178" s="31">
        <f>V122</f>
        <v>37.606313604722494</v>
      </c>
      <c r="Y178" s="20"/>
      <c r="Z178" s="23" t="s">
        <v>129</v>
      </c>
      <c r="AA178" s="31">
        <f>AA122</f>
        <v>37.079343058522092</v>
      </c>
      <c r="AB178" s="31">
        <f>AB122</f>
        <v>35.813431770810944</v>
      </c>
      <c r="AC178" s="31">
        <f>AC122</f>
        <v>27.923429077369057</v>
      </c>
      <c r="AD178" s="31">
        <f>AD122</f>
        <v>35.673927338573336</v>
      </c>
      <c r="AE178" s="31" t="e">
        <f>AE122</f>
        <v>#DIV/0!</v>
      </c>
    </row>
    <row r="179" spans="2:31" x14ac:dyDescent="0.25">
      <c r="B179" s="20"/>
      <c r="C179" s="37" t="s">
        <v>212</v>
      </c>
      <c r="D179" s="42">
        <f>D129/D195</f>
        <v>-0.1423357358153996</v>
      </c>
      <c r="E179" s="34">
        <f>E129/E195</f>
        <v>-0.6564780108217646</v>
      </c>
      <c r="F179" s="34">
        <f>F129/F195</f>
        <v>-0.36439872739086077</v>
      </c>
      <c r="I179" s="20"/>
      <c r="J179" s="37" t="s">
        <v>212</v>
      </c>
      <c r="K179" s="42">
        <f>K129/K195</f>
        <v>0.27483939369111171</v>
      </c>
      <c r="L179" s="34">
        <f>L129/L195</f>
        <v>0.30436916851338869</v>
      </c>
      <c r="M179" s="34">
        <f>M129/M195</f>
        <v>0.1784134667183695</v>
      </c>
      <c r="N179" s="34">
        <f>N129/N195</f>
        <v>-0.12595570179501922</v>
      </c>
      <c r="O179" s="34" t="e">
        <f>O129/O195</f>
        <v>#DIV/0!</v>
      </c>
      <c r="R179" s="20"/>
      <c r="S179" s="37" t="s">
        <v>212</v>
      </c>
      <c r="T179" s="180"/>
      <c r="U179" s="42">
        <f>U245/U195</f>
        <v>-0.64871407311530316</v>
      </c>
      <c r="V179" s="42">
        <f>V245/V195</f>
        <v>-0.36308619291762195</v>
      </c>
      <c r="Y179" s="20"/>
      <c r="Z179" s="37" t="s">
        <v>212</v>
      </c>
      <c r="AA179" s="42">
        <f>AA245/AA195</f>
        <v>0.27257998887432894</v>
      </c>
      <c r="AB179" s="42">
        <f>AB245/AB195</f>
        <v>0.29378272744628159</v>
      </c>
      <c r="AC179" s="42">
        <f>AC245/AC195</f>
        <v>0.18315280833929895</v>
      </c>
      <c r="AD179" s="42">
        <f>AD245/AD195</f>
        <v>-0.11062991910698267</v>
      </c>
      <c r="AE179" s="42" t="e">
        <f>AE245/AE195</f>
        <v>#DIV/0!</v>
      </c>
    </row>
    <row r="180" spans="2:31" ht="12.75" customHeight="1" x14ac:dyDescent="0.25">
      <c r="B180" s="400" t="s">
        <v>125</v>
      </c>
      <c r="C180" s="21" t="s">
        <v>9</v>
      </c>
      <c r="D180" s="54">
        <f>D130/D195</f>
        <v>-0.66518323886243336</v>
      </c>
      <c r="E180" s="54">
        <f>E130/E195</f>
        <v>-1.1793511800189669</v>
      </c>
      <c r="F180" s="54">
        <f>F130/F195</f>
        <v>-0.88726444686074768</v>
      </c>
      <c r="G180" s="52"/>
      <c r="H180" s="52"/>
      <c r="I180" s="400" t="s">
        <v>125</v>
      </c>
      <c r="J180" s="40" t="s">
        <v>9</v>
      </c>
      <c r="K180" s="54">
        <f>K130/K195</f>
        <v>-3.7025952303782625E-2</v>
      </c>
      <c r="L180" s="54">
        <f>L130/L195</f>
        <v>-1.4716730709641681E-2</v>
      </c>
      <c r="M180" s="54">
        <f>M130/M195</f>
        <v>-0.16584877835843545</v>
      </c>
      <c r="N180" s="54">
        <f>N130/N195</f>
        <v>-0.49206097564338025</v>
      </c>
      <c r="O180" s="54" t="e">
        <f>O130/O195</f>
        <v>#DIV/0!</v>
      </c>
      <c r="R180" s="400" t="s">
        <v>125</v>
      </c>
      <c r="S180" s="21" t="s">
        <v>9</v>
      </c>
      <c r="T180" s="40"/>
      <c r="U180" s="54">
        <f>U246/U195</f>
        <v>-1.1716204022292518</v>
      </c>
      <c r="V180" s="54">
        <f>V246/V195</f>
        <v>-0.88588088110379182</v>
      </c>
      <c r="Y180" s="400" t="s">
        <v>125</v>
      </c>
      <c r="Z180" s="40" t="s">
        <v>9</v>
      </c>
      <c r="AA180" s="54">
        <f>AA246/AA195</f>
        <v>-3.4235813469511718E-2</v>
      </c>
      <c r="AB180" s="54">
        <f>AB246/AB195</f>
        <v>-1.4783201505470984E-2</v>
      </c>
      <c r="AC180" s="54">
        <f>AC246/AC195</f>
        <v>-0.15446391399973639</v>
      </c>
      <c r="AD180" s="54">
        <f>AD246/AD195</f>
        <v>-0.46547478094828587</v>
      </c>
      <c r="AE180" s="54" t="e">
        <f>AE246/AE195</f>
        <v>#DIV/0!</v>
      </c>
    </row>
    <row r="181" spans="2:31" x14ac:dyDescent="0.25">
      <c r="B181" s="401"/>
      <c r="C181" s="11" t="s">
        <v>10</v>
      </c>
      <c r="D181" s="55">
        <f>D131/D195</f>
        <v>0.3805117672316341</v>
      </c>
      <c r="E181" s="55">
        <f>E131/E195</f>
        <v>-0.13360484162456235</v>
      </c>
      <c r="F181" s="55">
        <f>F131/F195</f>
        <v>0.15846699207902631</v>
      </c>
      <c r="G181" s="52"/>
      <c r="H181" s="52"/>
      <c r="I181" s="401"/>
      <c r="J181" s="11" t="s">
        <v>10</v>
      </c>
      <c r="K181" s="55">
        <f>K131/K195</f>
        <v>0.586704739686006</v>
      </c>
      <c r="L181" s="55">
        <f>L131/L195</f>
        <v>0.62345506773641912</v>
      </c>
      <c r="M181" s="55">
        <f>M131/M195</f>
        <v>0.52267571179517447</v>
      </c>
      <c r="N181" s="55">
        <f>N131/N195</f>
        <v>0.24014957205334186</v>
      </c>
      <c r="O181" s="55" t="e">
        <f>O131/O195</f>
        <v>#DIV/0!</v>
      </c>
      <c r="R181" s="401"/>
      <c r="S181" s="11" t="s">
        <v>10</v>
      </c>
      <c r="T181" s="40"/>
      <c r="U181" s="55">
        <f>U247/U195</f>
        <v>-0.12580774400135455</v>
      </c>
      <c r="V181" s="55">
        <f>V247/V195</f>
        <v>0.15970849526854794</v>
      </c>
      <c r="Y181" s="401"/>
      <c r="Z181" s="11" t="s">
        <v>10</v>
      </c>
      <c r="AA181" s="55">
        <f>AA247/AA195</f>
        <v>0.57939579121816953</v>
      </c>
      <c r="AB181" s="55">
        <f>AB247/AB195</f>
        <v>0.60234865639803414</v>
      </c>
      <c r="AC181" s="55">
        <f>AC247/AC195</f>
        <v>0.52076953067833431</v>
      </c>
      <c r="AD181" s="55">
        <f>AD247/AD195</f>
        <v>0.24421494273432054</v>
      </c>
      <c r="AE181" s="55" t="e">
        <f>AE247/AE195</f>
        <v>#DIV/0!</v>
      </c>
    </row>
    <row r="182" spans="2:31" ht="13.8" x14ac:dyDescent="0.25">
      <c r="B182" s="402"/>
      <c r="C182" s="24" t="s">
        <v>11</v>
      </c>
      <c r="D182" s="62">
        <f>(D181-D180)/2</f>
        <v>0.52284750304703376</v>
      </c>
      <c r="E182" s="62">
        <f>(E181-E180)/2</f>
        <v>0.52287316919720228</v>
      </c>
      <c r="F182" s="62">
        <f>(F181-F180)/2</f>
        <v>0.52286571946988702</v>
      </c>
      <c r="G182" s="52"/>
      <c r="H182" s="52"/>
      <c r="I182" s="402"/>
      <c r="J182" s="12" t="s">
        <v>11</v>
      </c>
      <c r="K182" s="62">
        <f>(K181-K180)/2</f>
        <v>0.31186534599489429</v>
      </c>
      <c r="L182" s="62">
        <f>(L181-L180)/2</f>
        <v>0.31908589922303038</v>
      </c>
      <c r="M182" s="62">
        <f>(M181-M180)/2</f>
        <v>0.34426224507680497</v>
      </c>
      <c r="N182" s="62">
        <f>(N181-N180)/2</f>
        <v>0.36610527384836106</v>
      </c>
      <c r="O182" s="62" t="e">
        <f>(O181-O180)/2</f>
        <v>#DIV/0!</v>
      </c>
      <c r="R182" s="402"/>
      <c r="S182" s="24" t="s">
        <v>11</v>
      </c>
      <c r="T182" s="168"/>
      <c r="U182" s="62">
        <f>(U181-U180)/2</f>
        <v>0.52290632911394863</v>
      </c>
      <c r="V182" s="62">
        <f>(V181-V180)/2</f>
        <v>0.52279468818616992</v>
      </c>
      <c r="Y182" s="402"/>
      <c r="Z182" s="12" t="s">
        <v>11</v>
      </c>
      <c r="AA182" s="62">
        <f>(AA181-AA180)/2</f>
        <v>0.30681580234384065</v>
      </c>
      <c r="AB182" s="62">
        <f>(AB181-AB180)/2</f>
        <v>0.30856592895175255</v>
      </c>
      <c r="AC182" s="62">
        <f>(AC181-AC180)/2</f>
        <v>0.33761672233903534</v>
      </c>
      <c r="AD182" s="62">
        <f>(AD181-AD180)/2</f>
        <v>0.35484486184130321</v>
      </c>
      <c r="AE182" s="62" t="e">
        <f>(AE181-AE180)/2</f>
        <v>#DIV/0!</v>
      </c>
    </row>
    <row r="183" spans="2:31" ht="12.75" customHeight="1" x14ac:dyDescent="0.25">
      <c r="B183" s="384" t="s">
        <v>173</v>
      </c>
      <c r="C183" s="282" t="str">
        <f>"+ive or "&amp;IF($C$30&gt;0,"harmful","beneficial")</f>
        <v>+ive or beneficial</v>
      </c>
      <c r="D183" s="238">
        <v>0.2</v>
      </c>
      <c r="E183" s="238" t="str">
        <f>IF(ISBLANK($C$30),"",MAX($C$30,$D$30))</f>
        <v/>
      </c>
      <c r="F183" s="238" t="str">
        <f>IF(ISBLANK($C$30),"",MAX($C$30,$D$30))</f>
        <v/>
      </c>
      <c r="G183" s="52"/>
      <c r="H183" s="52"/>
      <c r="I183" s="384" t="s">
        <v>173</v>
      </c>
      <c r="J183" s="282" t="str">
        <f>"+ive or "&amp;IF($C$30&gt;0,"harmful","beneficial")</f>
        <v>+ive or beneficial</v>
      </c>
      <c r="K183" s="238" t="str">
        <f>IF(ISBLANK($C$30),"",MAX($C$30,$D$30))</f>
        <v/>
      </c>
      <c r="L183" s="238" t="str">
        <f>IF(ISBLANK($C$30),"",MAX($C$30,$D$30))</f>
        <v/>
      </c>
      <c r="M183" s="238" t="str">
        <f>IF(ISBLANK($C$30),"",MAX($C$30,$D$30))</f>
        <v/>
      </c>
      <c r="N183" s="238" t="str">
        <f>IF(ISBLANK($C$30),"",MAX($C$30,$D$30))</f>
        <v/>
      </c>
      <c r="O183" s="238" t="str">
        <f>IF(ISBLANK($C$30),"",MAX($C$30,$D$30))</f>
        <v/>
      </c>
      <c r="R183" s="384" t="s">
        <v>173</v>
      </c>
      <c r="S183" s="282" t="str">
        <f>"+ive or "&amp;IF($C$30&gt;0,"harmful","beneficial")</f>
        <v>+ive or beneficial</v>
      </c>
      <c r="T183" s="14"/>
      <c r="U183" s="238" t="str">
        <f>IF(ISBLANK($C$30),"",MAX($C$30,$D$30))</f>
        <v/>
      </c>
      <c r="V183" s="238" t="str">
        <f>IF(ISBLANK($C$30),"",MAX($C$30,$D$30))</f>
        <v/>
      </c>
      <c r="Y183" s="384" t="s">
        <v>173</v>
      </c>
      <c r="Z183" s="282" t="str">
        <f>"+ive or "&amp;IF($C$30&gt;0,"harmful","beneficial")</f>
        <v>+ive or beneficial</v>
      </c>
      <c r="AA183" s="238" t="str">
        <f>IF(ISBLANK($C$30),"",MAX($C$30,$D$30))</f>
        <v/>
      </c>
      <c r="AB183" s="238" t="str">
        <f>IF(ISBLANK($C$30),"",MAX($C$30,$D$30))</f>
        <v/>
      </c>
      <c r="AC183" s="238" t="str">
        <f>IF(ISBLANK($C$30),"",MAX($C$30,$D$30))</f>
        <v/>
      </c>
      <c r="AD183" s="238" t="str">
        <f>IF(ISBLANK($C$30),"",MAX($C$30,$D$30))</f>
        <v/>
      </c>
      <c r="AE183" s="238" t="str">
        <f>IF(ISBLANK($C$30),"",MAX($C$30,$D$30))</f>
        <v/>
      </c>
    </row>
    <row r="184" spans="2:31" x14ac:dyDescent="0.25">
      <c r="B184" s="385"/>
      <c r="C184" s="283" t="str">
        <f>"-ive or "&amp;IF($C$30&lt;0,"harmful","beneficial")</f>
        <v>-ive or beneficial</v>
      </c>
      <c r="D184" s="238">
        <v>-0.2</v>
      </c>
      <c r="E184" s="238" t="str">
        <f>IF(ISBLANK($C$30),"",MIN($C$30,$D$30))</f>
        <v/>
      </c>
      <c r="F184" s="238" t="str">
        <f>IF(ISBLANK($C$30),"",MIN($C$30,$D$30))</f>
        <v/>
      </c>
      <c r="G184" s="52"/>
      <c r="H184" s="52"/>
      <c r="I184" s="385"/>
      <c r="J184" s="283" t="str">
        <f>"-ive or "&amp;IF($C$30&lt;0,"harmful","beneficial")</f>
        <v>-ive or beneficial</v>
      </c>
      <c r="K184" s="238" t="str">
        <f>IF(ISBLANK($C$30),"",MIN($C$30,$D$30))</f>
        <v/>
      </c>
      <c r="L184" s="238" t="str">
        <f>IF(ISBLANK($C$30),"",MIN($C$30,$D$30))</f>
        <v/>
      </c>
      <c r="M184" s="238" t="str">
        <f>IF(ISBLANK($C$30),"",MIN($C$30,$D$30))</f>
        <v/>
      </c>
      <c r="N184" s="238" t="str">
        <f>IF(ISBLANK($C$30),"",MIN($C$30,$D$30))</f>
        <v/>
      </c>
      <c r="O184" s="238" t="str">
        <f>IF(ISBLANK($C$30),"",MIN($C$30,$D$30))</f>
        <v/>
      </c>
      <c r="R184" s="385"/>
      <c r="S184" s="283" t="str">
        <f>"-ive or "&amp;IF($C$30&lt;0,"harmful","beneficial")</f>
        <v>-ive or beneficial</v>
      </c>
      <c r="T184" s="13"/>
      <c r="U184" s="238" t="str">
        <f>IF(ISBLANK($C$30),"",MIN($C$30,$D$30))</f>
        <v/>
      </c>
      <c r="V184" s="238" t="str">
        <f>IF(ISBLANK($C$30),"",MIN($C$30,$D$30))</f>
        <v/>
      </c>
      <c r="Y184" s="385"/>
      <c r="Z184" s="283" t="str">
        <f>"-ive or "&amp;IF($C$30&lt;0,"harmful","beneficial")</f>
        <v>-ive or beneficial</v>
      </c>
      <c r="AA184" s="238" t="str">
        <f>IF(ISBLANK($C$30),"",MIN($C$30,$D$30))</f>
        <v/>
      </c>
      <c r="AB184" s="238" t="str">
        <f>IF(ISBLANK($C$30),"",MIN($C$30,$D$30))</f>
        <v/>
      </c>
      <c r="AC184" s="238" t="str">
        <f>IF(ISBLANK($C$30),"",MIN($C$30,$D$30))</f>
        <v/>
      </c>
      <c r="AD184" s="238" t="str">
        <f>IF(ISBLANK($C$30),"",MIN($C$30,$D$30))</f>
        <v/>
      </c>
      <c r="AE184" s="238" t="str">
        <f>IF(ISBLANK($C$30),"",MIN($C$30,$D$30))</f>
        <v/>
      </c>
    </row>
    <row r="185" spans="2:31" ht="12.75" customHeight="1" x14ac:dyDescent="0.25">
      <c r="B185" s="394" t="s">
        <v>231</v>
      </c>
      <c r="C185" s="427" t="str">
        <f>"substantially positive (+ive) or "&amp;IF($C$30&gt;0,"harmful","beneficial")</f>
        <v>substantially positive (+ive) or beneficial</v>
      </c>
      <c r="D185" s="67">
        <f>IF(ISERROR(TDIST((D183*D195-D$117)/D$123,D178,1)),1-TDIST((D$117-D183*D195)/D$123,D178,1),TDIST((D183*D195-D$117)/D$123,D178,1))*100</f>
        <v>13.815596375729719</v>
      </c>
      <c r="E185" s="67" t="e">
        <f>IF(ISERROR(TDIST((E183*E195-E$117)/E$123,E178,1)),1-TDIST((E$117-E183*E195)/E$123,E178,1),TDIST((E183*E195-E$117)/E$123,E178,1))*100</f>
        <v>#VALUE!</v>
      </c>
      <c r="F185" s="67" t="e">
        <f>IF(ISERROR(TDIST((F183*F195-F$117)/F$123,F178,1)),1-TDIST((F$117-F183*F195)/F$123,F178,1),TDIST((F183*F195-F$117)/F$123,F178,1))*100</f>
        <v>#VALUE!</v>
      </c>
      <c r="G185" s="52"/>
      <c r="H185" s="52"/>
      <c r="I185" s="394" t="s">
        <v>231</v>
      </c>
      <c r="J185" s="427" t="str">
        <f>"substantially positive (+ive) or "&amp;IF($C$30&gt;0,"harmful","beneficial")</f>
        <v>substantially positive (+ive) or beneficial</v>
      </c>
      <c r="K185" s="67" t="e">
        <f>IF(ISERROR(TDIST((K183*K195-K$117)/K$123,K178,1)),1-TDIST((K$117-K183*K195)/K$123,K178,1),TDIST((K183*K195-K$117)/K$123,K178,1))*100</f>
        <v>#VALUE!</v>
      </c>
      <c r="L185" s="67" t="e">
        <f>IF(ISERROR(TDIST((L183*L195-L$117)/L$123,L178,1)),1-TDIST((L$117-L183*L195)/L$123,L178,1),TDIST((L183*L195-L$117)/L$123,L178,1))*100</f>
        <v>#VALUE!</v>
      </c>
      <c r="M185" s="67" t="e">
        <f>IF(ISERROR(TDIST((M183*M195-M$117)/M$123,M178,1)),1-TDIST((M$117-M183*M195)/M$123,M178,1),TDIST((M183*M195-M$117)/M$123,M178,1))*100</f>
        <v>#VALUE!</v>
      </c>
      <c r="N185" s="67" t="e">
        <f>IF(ISERROR(TDIST((N183*N195-N$117)/N$123,N178,1)),1-TDIST((N$117-N183*N195)/N$123,N178,1),TDIST((N183*N195-N$117)/N$123,N178,1))*100</f>
        <v>#VALUE!</v>
      </c>
      <c r="O185" s="67" t="e">
        <f>IF(ISERROR(TDIST((O183*O195-O$117)/O$123,O178,1)),1-TDIST((O$117-O183*O195)/O$123,O178,1),TDIST((O183*O195-O$117)/O$123,O178,1))*100</f>
        <v>#DIV/0!</v>
      </c>
      <c r="R185" s="394" t="s">
        <v>231</v>
      </c>
      <c r="S185" s="427" t="str">
        <f>"substantially positive (+ive) or "&amp;IF($C$30&gt;0,"harmful","beneficial")</f>
        <v>substantially positive (+ive) or beneficial</v>
      </c>
      <c r="T185" s="125"/>
      <c r="U185" s="67" t="e">
        <f>IF(ISERROR(TDIST((U183*U195-U$117)/U$123,U178,1)),1-TDIST((U$117-U183*U195)/U$123,U178,1),TDIST((U183*U195-U$117)/U$123,U178,1))*100</f>
        <v>#VALUE!</v>
      </c>
      <c r="V185" s="67" t="e">
        <f>IF(ISERROR(TDIST((V183*V195-V$117)/V$123,V178,1)),1-TDIST((V$117-V183*V195)/V$123,V178,1),TDIST((V183*V195-V$117)/V$123,V178,1))*100</f>
        <v>#VALUE!</v>
      </c>
      <c r="Y185" s="394" t="s">
        <v>231</v>
      </c>
      <c r="Z185" s="427" t="str">
        <f>"substantially positive (+ive) or "&amp;IF($C$30&gt;0,"harmful","beneficial")</f>
        <v>substantially positive (+ive) or beneficial</v>
      </c>
      <c r="AA185" s="67" t="e">
        <f>IF(ISERROR(TDIST((AA183*AA195-AA$117)/AA$123,AA178,1)),1-TDIST((AA$117-AA183*AA195)/AA$123,AA178,1),TDIST((AA183*AA195-AA$117)/AA$123,AA178,1))*100</f>
        <v>#VALUE!</v>
      </c>
      <c r="AB185" s="67" t="e">
        <f>IF(ISERROR(TDIST((AB183*AB195-AB$117)/AB$123,AB178,1)),1-TDIST((AB$117-AB183*AB195)/AB$123,AB178,1),TDIST((AB183*AB195-AB$117)/AB$123,AB178,1))*100</f>
        <v>#VALUE!</v>
      </c>
      <c r="AC185" s="67" t="e">
        <f>IF(ISERROR(TDIST((AC183*AC195-AC$117)/AC$123,AC178,1)),1-TDIST((AC$117-AC183*AC195)/AC$123,AC178,1),TDIST((AC183*AC195-AC$117)/AC$123,AC178,1))*100</f>
        <v>#VALUE!</v>
      </c>
      <c r="AD185" s="67" t="e">
        <f>IF(ISERROR(TDIST((AD183*AD195-AD$117)/AD$123,AD178,1)),1-TDIST((AD$117-AD183*AD195)/AD$123,AD178,1),TDIST((AD183*AD195-AD$117)/AD$123,AD178,1))*100</f>
        <v>#VALUE!</v>
      </c>
      <c r="AE185" s="67" t="e">
        <f>IF(ISERROR(TDIST((AE183*AE195-AE$117)/AE$123,AE178,1)),1-TDIST((AE$117-AE183*AE195)/AE$123,AE178,1),TDIST((AE183*AE195-AE$117)/AE$123,AE178,1))*100</f>
        <v>#DIV/0!</v>
      </c>
    </row>
    <row r="186" spans="2:31" ht="25.2" customHeight="1" x14ac:dyDescent="0.25">
      <c r="B186" s="395"/>
      <c r="C186" s="428"/>
      <c r="D186" s="19" t="str">
        <f>IF(D185&lt;0.5,"most unlikely",IF(D185&lt;5,"very unlikely",IF(D185&lt;25,"unlikely",IF(D185&lt;75,"possibly",IF(D185&lt;95,"likely",IF(D185&lt;99.5,"very likely","most likely"))))))</f>
        <v>unlikely</v>
      </c>
      <c r="E186" s="19" t="e">
        <f>IF(E185&lt;0.5,"most unlikely",IF(E185&lt;5,"very unlikely",IF(E185&lt;25,"unlikely",IF(E185&lt;75,"possibly",IF(E185&lt;95,"likely",IF(E185&lt;99.5,"very likely","most likely"))))))</f>
        <v>#VALUE!</v>
      </c>
      <c r="F186" s="19" t="e">
        <f>IF(F185&lt;0.5,"most unlikely",IF(F185&lt;5,"very unlikely",IF(F185&lt;25,"unlikely",IF(F185&lt;75,"possibly",IF(F185&lt;95,"likely",IF(F185&lt;99.5,"very likely","most likely"))))))</f>
        <v>#VALUE!</v>
      </c>
      <c r="G186" s="52"/>
      <c r="H186" s="52"/>
      <c r="I186" s="395"/>
      <c r="J186" s="428"/>
      <c r="K186" s="19" t="e">
        <f>IF(K185&lt;0.5,"most unlikely",IF(K185&lt;5,"very unlikely",IF(K185&lt;25,"unlikely",IF(K185&lt;75,"possibly",IF(K185&lt;95,"likely",IF(K185&lt;99.5,"very likely","most likely"))))))</f>
        <v>#VALUE!</v>
      </c>
      <c r="L186" s="19" t="e">
        <f>IF(L185&lt;0.5,"most unlikely",IF(L185&lt;5,"very unlikely",IF(L185&lt;25,"unlikely",IF(L185&lt;75,"possibly",IF(L185&lt;95,"likely",IF(L185&lt;99.5,"very likely","most likely"))))))</f>
        <v>#VALUE!</v>
      </c>
      <c r="M186" s="19" t="e">
        <f>IF(M185&lt;0.5,"most unlikely",IF(M185&lt;5,"very unlikely",IF(M185&lt;25,"unlikely",IF(M185&lt;75,"possibly",IF(M185&lt;95,"likely",IF(M185&lt;99.5,"very likely","most likely"))))))</f>
        <v>#VALUE!</v>
      </c>
      <c r="N186" s="19" t="e">
        <f>IF(N185&lt;0.5,"most unlikely",IF(N185&lt;5,"very unlikely",IF(N185&lt;25,"unlikely",IF(N185&lt;75,"possibly",IF(N185&lt;95,"likely",IF(N185&lt;99.5,"very likely","most likely"))))))</f>
        <v>#VALUE!</v>
      </c>
      <c r="O186" s="19" t="e">
        <f>IF(O185&lt;0.5,"most unlikely",IF(O185&lt;5,"very unlikely",IF(O185&lt;25,"unlikely",IF(O185&lt;75,"possibly",IF(O185&lt;95,"likely",IF(O185&lt;99.5,"very likely","most likely"))))))</f>
        <v>#DIV/0!</v>
      </c>
      <c r="R186" s="395"/>
      <c r="S186" s="428"/>
      <c r="T186" s="124"/>
      <c r="U186" s="19" t="e">
        <f>IF(U185&lt;0.5,"most unlikely",IF(U185&lt;5,"very unlikely",IF(U185&lt;25,"unlikely",IF(U185&lt;75,"possibly",IF(U185&lt;95,"likely",IF(U185&lt;99.5,"very likely","most likely"))))))</f>
        <v>#VALUE!</v>
      </c>
      <c r="V186" s="19" t="e">
        <f>IF(V185&lt;0.5,"most unlikely",IF(V185&lt;5,"very unlikely",IF(V185&lt;25,"unlikely",IF(V185&lt;75,"possibly",IF(V185&lt;95,"likely",IF(V185&lt;99.5,"very likely","most likely"))))))</f>
        <v>#VALUE!</v>
      </c>
      <c r="Y186" s="395"/>
      <c r="Z186" s="428"/>
      <c r="AA186" s="19" t="e">
        <f>IF(AA185&lt;0.5,"most unlikely",IF(AA185&lt;5,"very unlikely",IF(AA185&lt;25,"unlikely",IF(AA185&lt;75,"possibly",IF(AA185&lt;95,"likely",IF(AA185&lt;99.5,"very likely","most likely"))))))</f>
        <v>#VALUE!</v>
      </c>
      <c r="AB186" s="19" t="e">
        <f>IF(AB185&lt;0.5,"most unlikely",IF(AB185&lt;5,"very unlikely",IF(AB185&lt;25,"unlikely",IF(AB185&lt;75,"possibly",IF(AB185&lt;95,"likely",IF(AB185&lt;99.5,"very likely","most likely"))))))</f>
        <v>#VALUE!</v>
      </c>
      <c r="AC186" s="19" t="e">
        <f>IF(AC185&lt;0.5,"most unlikely",IF(AC185&lt;5,"very unlikely",IF(AC185&lt;25,"unlikely",IF(AC185&lt;75,"possibly",IF(AC185&lt;95,"likely",IF(AC185&lt;99.5,"very likely","most likely"))))))</f>
        <v>#VALUE!</v>
      </c>
      <c r="AD186" s="19" t="e">
        <f>IF(AD185&lt;0.5,"most unlikely",IF(AD185&lt;5,"very unlikely",IF(AD185&lt;25,"unlikely",IF(AD185&lt;75,"possibly",IF(AD185&lt;95,"likely",IF(AD185&lt;99.5,"very likely","most likely"))))))</f>
        <v>#VALUE!</v>
      </c>
      <c r="AE186" s="19" t="e">
        <f>IF(AE185&lt;0.5,"most unlikely",IF(AE185&lt;5,"very unlikely",IF(AE185&lt;25,"unlikely",IF(AE185&lt;75,"possibly",IF(AE185&lt;95,"likely",IF(AE185&lt;99.5,"very likely","most likely"))))))</f>
        <v>#DIV/0!</v>
      </c>
    </row>
    <row r="187" spans="2:31" x14ac:dyDescent="0.25">
      <c r="B187" s="395"/>
      <c r="C187" s="386" t="s">
        <v>12</v>
      </c>
      <c r="D187" s="67">
        <f>100-D185-D189</f>
        <v>43.517761444642659</v>
      </c>
      <c r="E187" s="67" t="e">
        <f>100-E185-E189</f>
        <v>#VALUE!</v>
      </c>
      <c r="F187" s="67" t="e">
        <f>100-F185-F189</f>
        <v>#VALUE!</v>
      </c>
      <c r="G187" s="52"/>
      <c r="H187" s="52"/>
      <c r="I187" s="395"/>
      <c r="J187" s="386" t="s">
        <v>12</v>
      </c>
      <c r="K187" s="67" t="e">
        <f>100-K185-K189</f>
        <v>#VALUE!</v>
      </c>
      <c r="L187" s="67" t="e">
        <f>100-L185-L189</f>
        <v>#VALUE!</v>
      </c>
      <c r="M187" s="67" t="e">
        <f>100-M185-M189</f>
        <v>#VALUE!</v>
      </c>
      <c r="N187" s="67" t="e">
        <f>100-N185-N189</f>
        <v>#VALUE!</v>
      </c>
      <c r="O187" s="67" t="e">
        <f>100-O185-O189</f>
        <v>#DIV/0!</v>
      </c>
      <c r="R187" s="395"/>
      <c r="S187" s="386" t="s">
        <v>12</v>
      </c>
      <c r="T187" s="126"/>
      <c r="U187" s="67" t="e">
        <f>100-U185-U189</f>
        <v>#VALUE!</v>
      </c>
      <c r="V187" s="67" t="e">
        <f>100-V185-V189</f>
        <v>#VALUE!</v>
      </c>
      <c r="Y187" s="395"/>
      <c r="Z187" s="386" t="s">
        <v>12</v>
      </c>
      <c r="AA187" s="67" t="e">
        <f>100-AA185-AA189</f>
        <v>#VALUE!</v>
      </c>
      <c r="AB187" s="67" t="e">
        <f>100-AB185-AB189</f>
        <v>#VALUE!</v>
      </c>
      <c r="AC187" s="67" t="e">
        <f>100-AC185-AC189</f>
        <v>#VALUE!</v>
      </c>
      <c r="AD187" s="67" t="e">
        <f>100-AD185-AD189</f>
        <v>#VALUE!</v>
      </c>
      <c r="AE187" s="67" t="e">
        <f>100-AE185-AE189</f>
        <v>#DIV/0!</v>
      </c>
    </row>
    <row r="188" spans="2:31" ht="27" customHeight="1" x14ac:dyDescent="0.25">
      <c r="B188" s="395"/>
      <c r="C188" s="387"/>
      <c r="D188" s="19" t="str">
        <f>IF(D187&lt;0.5,"most unlikely",IF(D187&lt;5,"very unlikely",IF(D187&lt;25,"unlikely",IF(D187&lt;75,"possibly",IF(D187&lt;95,"likely",IF(D187&lt;99.5,"very likely","most likely"))))))</f>
        <v>possibly</v>
      </c>
      <c r="E188" s="19" t="e">
        <f>IF(E187&lt;0.5,"most unlikely",IF(E187&lt;5,"very unlikely",IF(E187&lt;25,"unlikely",IF(E187&lt;75,"possibly",IF(E187&lt;95,"likely",IF(E187&lt;99.5,"very likely","most likely"))))))</f>
        <v>#VALUE!</v>
      </c>
      <c r="F188" s="19" t="e">
        <f>IF(F187&lt;0.5,"most unlikely",IF(F187&lt;5,"very unlikely",IF(F187&lt;25,"unlikely",IF(F187&lt;75,"possibly",IF(F187&lt;95,"likely",IF(F187&lt;99.5,"very likely","most likely"))))))</f>
        <v>#VALUE!</v>
      </c>
      <c r="G188" s="52"/>
      <c r="H188" s="52"/>
      <c r="I188" s="395"/>
      <c r="J188" s="387"/>
      <c r="K188" s="19" t="e">
        <f>IF(K187&lt;0.5,"most unlikely",IF(K187&lt;5,"very unlikely",IF(K187&lt;25,"unlikely",IF(K187&lt;75,"possibly",IF(K187&lt;95,"likely",IF(K187&lt;99.5,"very likely","most likely"))))))</f>
        <v>#VALUE!</v>
      </c>
      <c r="L188" s="19" t="e">
        <f>IF(L187&lt;0.5,"most unlikely",IF(L187&lt;5,"very unlikely",IF(L187&lt;25,"unlikely",IF(L187&lt;75,"possibly",IF(L187&lt;95,"likely",IF(L187&lt;99.5,"very likely","most likely"))))))</f>
        <v>#VALUE!</v>
      </c>
      <c r="M188" s="19" t="e">
        <f>IF(M187&lt;0.5,"most unlikely",IF(M187&lt;5,"very unlikely",IF(M187&lt;25,"unlikely",IF(M187&lt;75,"possibly",IF(M187&lt;95,"likely",IF(M187&lt;99.5,"very likely","most likely"))))))</f>
        <v>#VALUE!</v>
      </c>
      <c r="N188" s="19" t="e">
        <f>IF(N187&lt;0.5,"most unlikely",IF(N187&lt;5,"very unlikely",IF(N187&lt;25,"unlikely",IF(N187&lt;75,"possibly",IF(N187&lt;95,"likely",IF(N187&lt;99.5,"very likely","most likely"))))))</f>
        <v>#VALUE!</v>
      </c>
      <c r="O188" s="19" t="e">
        <f>IF(O187&lt;0.5,"most unlikely",IF(O187&lt;5,"very unlikely",IF(O187&lt;25,"unlikely",IF(O187&lt;75,"possibly",IF(O187&lt;95,"likely",IF(O187&lt;99.5,"very likely","most likely"))))))</f>
        <v>#DIV/0!</v>
      </c>
      <c r="R188" s="395"/>
      <c r="S188" s="387"/>
      <c r="T188" s="127"/>
      <c r="U188" s="19" t="e">
        <f>IF(U187&lt;0.5,"most unlikely",IF(U187&lt;5,"very unlikely",IF(U187&lt;25,"unlikely",IF(U187&lt;75,"possibly",IF(U187&lt;95,"likely",IF(U187&lt;99.5,"very likely","most likely"))))))</f>
        <v>#VALUE!</v>
      </c>
      <c r="V188" s="19" t="e">
        <f>IF(V187&lt;0.5,"most unlikely",IF(V187&lt;5,"very unlikely",IF(V187&lt;25,"unlikely",IF(V187&lt;75,"possibly",IF(V187&lt;95,"likely",IF(V187&lt;99.5,"very likely","most likely"))))))</f>
        <v>#VALUE!</v>
      </c>
      <c r="Y188" s="395"/>
      <c r="Z188" s="387"/>
      <c r="AA188" s="19" t="e">
        <f>IF(AA187&lt;0.5,"most unlikely",IF(AA187&lt;5,"very unlikely",IF(AA187&lt;25,"unlikely",IF(AA187&lt;75,"possibly",IF(AA187&lt;95,"likely",IF(AA187&lt;99.5,"very likely","most likely"))))))</f>
        <v>#VALUE!</v>
      </c>
      <c r="AB188" s="19" t="e">
        <f>IF(AB187&lt;0.5,"most unlikely",IF(AB187&lt;5,"very unlikely",IF(AB187&lt;25,"unlikely",IF(AB187&lt;75,"possibly",IF(AB187&lt;95,"likely",IF(AB187&lt;99.5,"very likely","most likely"))))))</f>
        <v>#VALUE!</v>
      </c>
      <c r="AC188" s="19" t="e">
        <f>IF(AC187&lt;0.5,"most unlikely",IF(AC187&lt;5,"very unlikely",IF(AC187&lt;25,"unlikely",IF(AC187&lt;75,"possibly",IF(AC187&lt;95,"likely",IF(AC187&lt;99.5,"very likely","most likely"))))))</f>
        <v>#VALUE!</v>
      </c>
      <c r="AD188" s="19" t="e">
        <f>IF(AD187&lt;0.5,"most unlikely",IF(AD187&lt;5,"very unlikely",IF(AD187&lt;25,"unlikely",IF(AD187&lt;75,"possibly",IF(AD187&lt;95,"likely",IF(AD187&lt;99.5,"very likely","most likely"))))))</f>
        <v>#VALUE!</v>
      </c>
      <c r="AE188" s="19" t="e">
        <f>IF(AE187&lt;0.5,"most unlikely",IF(AE187&lt;5,"very unlikely",IF(AE187&lt;25,"unlikely",IF(AE187&lt;75,"possibly",IF(AE187&lt;95,"likely",IF(AE187&lt;99.5,"very likely","most likely"))))))</f>
        <v>#DIV/0!</v>
      </c>
    </row>
    <row r="189" spans="2:31" ht="13.2" customHeight="1" x14ac:dyDescent="0.25">
      <c r="B189" s="395"/>
      <c r="C189" s="396" t="str">
        <f>"substantially negative (-ive) or "&amp;IF($C$30&lt;0,"harmful","beneficial")</f>
        <v>substantially negative (-ive) or beneficial</v>
      </c>
      <c r="D189" s="67">
        <f>IF(ISERROR(TDIST((D184*D195-D$117)/D$123,D178,1)),TDIST((D$117-D184*D195)/D$123,D178,1),1-TDIST((D184*D195-D$117)/D$123,D178,1))*100</f>
        <v>42.66664217962763</v>
      </c>
      <c r="E189" s="67" t="e">
        <f>IF(ISERROR(TDIST((E184*E195-E$117)/E$123,E178,1)),TDIST((E$117-E184*E195)/E$123,E178,1),1-TDIST((E184*E195-E$117)/E$123,E178,1))*100</f>
        <v>#VALUE!</v>
      </c>
      <c r="F189" s="67" t="e">
        <f>IF(ISERROR(TDIST((F184*F195-F$117)/F$123,F178,1)),TDIST((F$117-F184*F195)/F$123,F178,1),1-TDIST((F184*F195-F$117)/F$123,F178,1))*100</f>
        <v>#VALUE!</v>
      </c>
      <c r="G189" s="52"/>
      <c r="H189" s="52"/>
      <c r="I189" s="395"/>
      <c r="J189" s="396" t="str">
        <f>"substantially negative (-ive) or "&amp;IF($C$30&lt;0,"harmful","beneficial")</f>
        <v>substantially negative (-ive) or beneficial</v>
      </c>
      <c r="K189" s="67" t="e">
        <f>IF(ISERROR(TDIST((K184*K195-K$117)/K$123,K178,1)),TDIST((K$117-K184*K195)/K$123,K178,1),1-TDIST((K184*K195-K$117)/K$123,K178,1))*100</f>
        <v>#VALUE!</v>
      </c>
      <c r="L189" s="67" t="e">
        <f>IF(ISERROR(TDIST((L184*L195-L$117)/L$123,L178,1)),TDIST((L$117-L184*L195)/L$123,L178,1),1-TDIST((L184*L195-L$117)/L$123,L178,1))*100</f>
        <v>#VALUE!</v>
      </c>
      <c r="M189" s="67" t="e">
        <f>IF(ISERROR(TDIST((M184*M195-M$117)/M$123,M178,1)),TDIST((M$117-M184*M195)/M$123,M178,1),1-TDIST((M184*M195-M$117)/M$123,M178,1))*100</f>
        <v>#VALUE!</v>
      </c>
      <c r="N189" s="67" t="e">
        <f>IF(ISERROR(TDIST((N184*N195-N$117)/N$123,N178,1)),TDIST((N$117-N184*N195)/N$123,N178,1),1-TDIST((N184*N195-N$117)/N$123,N178,1))*100</f>
        <v>#VALUE!</v>
      </c>
      <c r="O189" s="67" t="e">
        <f>IF(ISERROR(TDIST((O184*O195-O$117)/O$123,O178,1)),TDIST((O$117-O184*O195)/O$123,O178,1),1-TDIST((O184*O195-O$117)/O$123,O178,1))*100</f>
        <v>#DIV/0!</v>
      </c>
      <c r="R189" s="395"/>
      <c r="S189" s="396" t="str">
        <f>"substantially negative (-ive) or "&amp;IF($C$30&lt;0,"harmful","beneficial")</f>
        <v>substantially negative (-ive) or beneficial</v>
      </c>
      <c r="T189" s="128"/>
      <c r="U189" s="67" t="e">
        <f>IF(ISERROR(TDIST((U184*U195-U$117)/U$123,U178,1)),TDIST((U$117-U184*U195)/U$123,U178,1),1-TDIST((U184*U195-U$117)/U$123,U178,1))*100</f>
        <v>#VALUE!</v>
      </c>
      <c r="V189" s="67" t="e">
        <f>IF(ISERROR(TDIST((V184*V195-V$117)/V$123,V178,1)),TDIST((V$117-V184*V195)/V$123,V178,1),1-TDIST((V184*V195-V$117)/V$123,V178,1))*100</f>
        <v>#VALUE!</v>
      </c>
      <c r="Y189" s="395"/>
      <c r="Z189" s="396" t="str">
        <f>"substantially negative (-ive) or "&amp;IF($C$30&lt;0,"harmful","beneficial")</f>
        <v>substantially negative (-ive) or beneficial</v>
      </c>
      <c r="AA189" s="67" t="e">
        <f>IF(ISERROR(TDIST((AA184*AA195-AA$117)/AA$123,AA178,1)),TDIST((AA$117-AA184*AA195)/AA$123,AA178,1),1-TDIST((AA184*AA195-AA$117)/AA$123,AA178,1))*100</f>
        <v>#VALUE!</v>
      </c>
      <c r="AB189" s="67" t="e">
        <f>IF(ISERROR(TDIST((AB184*AB195-AB$117)/AB$123,AB178,1)),TDIST((AB$117-AB184*AB195)/AB$123,AB178,1),1-TDIST((AB184*AB195-AB$117)/AB$123,AB178,1))*100</f>
        <v>#VALUE!</v>
      </c>
      <c r="AC189" s="67" t="e">
        <f>IF(ISERROR(TDIST((AC184*AC195-AC$117)/AC$123,AC178,1)),TDIST((AC$117-AC184*AC195)/AC$123,AC178,1),1-TDIST((AC184*AC195-AC$117)/AC$123,AC178,1))*100</f>
        <v>#VALUE!</v>
      </c>
      <c r="AD189" s="67" t="e">
        <f>IF(ISERROR(TDIST((AD184*AD195-AD$117)/AD$123,AD178,1)),TDIST((AD$117-AD184*AD195)/AD$123,AD178,1),1-TDIST((AD184*AD195-AD$117)/AD$123,AD178,1))*100</f>
        <v>#VALUE!</v>
      </c>
      <c r="AE189" s="67" t="e">
        <f>IF(ISERROR(TDIST((AE184*AE195-AE$117)/AE$123,AE178,1)),TDIST((AE$117-AE184*AE195)/AE$123,AE178,1),1-TDIST((AE184*AE195-AE$117)/AE$123,AE178,1))*100</f>
        <v>#DIV/0!</v>
      </c>
    </row>
    <row r="190" spans="2:31" ht="27" customHeight="1" x14ac:dyDescent="0.25">
      <c r="B190" s="395"/>
      <c r="C190" s="397"/>
      <c r="D190" s="19" t="str">
        <f>IF(D189&lt;0.5,"most unlikely",IF(D189&lt;5,"very unlikely",IF(D189&lt;25,"unlikely",IF(D189&lt;75,"possibly",IF(D189&lt;95,"likely",IF(D189&lt;99.5,"very likely","most likely"))))))</f>
        <v>possibly</v>
      </c>
      <c r="E190" s="19" t="e">
        <f>IF(E189&lt;0.5,"most unlikely",IF(E189&lt;5,"very unlikely",IF(E189&lt;25,"unlikely",IF(E189&lt;75,"possibly",IF(E189&lt;95,"likely",IF(E189&lt;99.5,"very likely","most likely"))))))</f>
        <v>#VALUE!</v>
      </c>
      <c r="F190" s="19" t="e">
        <f>IF(F189&lt;0.5,"most unlikely",IF(F189&lt;5,"very unlikely",IF(F189&lt;25,"unlikely",IF(F189&lt;75,"possibly",IF(F189&lt;95,"likely",IF(F189&lt;99.5,"very likely","most likely"))))))</f>
        <v>#VALUE!</v>
      </c>
      <c r="G190" s="52"/>
      <c r="H190" s="52"/>
      <c r="I190" s="395"/>
      <c r="J190" s="397"/>
      <c r="K190" s="19" t="e">
        <f>IF(K189&lt;0.5,"most unlikely",IF(K189&lt;5,"very unlikely",IF(K189&lt;25,"unlikely",IF(K189&lt;75,"possibly",IF(K189&lt;95,"likely",IF(K189&lt;99.5,"very likely","most likely"))))))</f>
        <v>#VALUE!</v>
      </c>
      <c r="L190" s="19" t="e">
        <f>IF(L189&lt;0.5,"most unlikely",IF(L189&lt;5,"very unlikely",IF(L189&lt;25,"unlikely",IF(L189&lt;75,"possibly",IF(L189&lt;95,"likely",IF(L189&lt;99.5,"very likely","most likely"))))))</f>
        <v>#VALUE!</v>
      </c>
      <c r="M190" s="19" t="e">
        <f>IF(M189&lt;0.5,"most unlikely",IF(M189&lt;5,"very unlikely",IF(M189&lt;25,"unlikely",IF(M189&lt;75,"possibly",IF(M189&lt;95,"likely",IF(M189&lt;99.5,"very likely","most likely"))))))</f>
        <v>#VALUE!</v>
      </c>
      <c r="N190" s="19" t="e">
        <f>IF(N189&lt;0.5,"most unlikely",IF(N189&lt;5,"very unlikely",IF(N189&lt;25,"unlikely",IF(N189&lt;75,"possibly",IF(N189&lt;95,"likely",IF(N189&lt;99.5,"very likely","most likely"))))))</f>
        <v>#VALUE!</v>
      </c>
      <c r="O190" s="19" t="e">
        <f>IF(O189&lt;0.5,"most unlikely",IF(O189&lt;5,"very unlikely",IF(O189&lt;25,"unlikely",IF(O189&lt;75,"possibly",IF(O189&lt;95,"likely",IF(O189&lt;99.5,"very likely","most likely"))))))</f>
        <v>#DIV/0!</v>
      </c>
      <c r="R190" s="395"/>
      <c r="S190" s="397"/>
      <c r="T190" s="129"/>
      <c r="U190" s="19" t="e">
        <f>IF(U189&lt;0.5,"most unlikely",IF(U189&lt;5,"very unlikely",IF(U189&lt;25,"unlikely",IF(U189&lt;75,"possibly",IF(U189&lt;95,"likely",IF(U189&lt;99.5,"very likely","most likely"))))))</f>
        <v>#VALUE!</v>
      </c>
      <c r="V190" s="19" t="e">
        <f>IF(V189&lt;0.5,"most unlikely",IF(V189&lt;5,"very unlikely",IF(V189&lt;25,"unlikely",IF(V189&lt;75,"possibly",IF(V189&lt;95,"likely",IF(V189&lt;99.5,"very likely","most likely"))))))</f>
        <v>#VALUE!</v>
      </c>
      <c r="Y190" s="395"/>
      <c r="Z190" s="397"/>
      <c r="AA190" s="19" t="e">
        <f>IF(AA189&lt;0.5,"most unlikely",IF(AA189&lt;5,"very unlikely",IF(AA189&lt;25,"unlikely",IF(AA189&lt;75,"possibly",IF(AA189&lt;95,"likely",IF(AA189&lt;99.5,"very likely","most likely"))))))</f>
        <v>#VALUE!</v>
      </c>
      <c r="AB190" s="19" t="e">
        <f>IF(AB189&lt;0.5,"most unlikely",IF(AB189&lt;5,"very unlikely",IF(AB189&lt;25,"unlikely",IF(AB189&lt;75,"possibly",IF(AB189&lt;95,"likely",IF(AB189&lt;99.5,"very likely","most likely"))))))</f>
        <v>#VALUE!</v>
      </c>
      <c r="AC190" s="19" t="e">
        <f>IF(AC189&lt;0.5,"most unlikely",IF(AC189&lt;5,"very unlikely",IF(AC189&lt;25,"unlikely",IF(AC189&lt;75,"possibly",IF(AC189&lt;95,"likely",IF(AC189&lt;99.5,"very likely","most likely"))))))</f>
        <v>#VALUE!</v>
      </c>
      <c r="AD190" s="19" t="e">
        <f>IF(AD189&lt;0.5,"most unlikely",IF(AD189&lt;5,"very unlikely",IF(AD189&lt;25,"unlikely",IF(AD189&lt;75,"possibly",IF(AD189&lt;95,"likely",IF(AD189&lt;99.5,"very likely","most likely"))))))</f>
        <v>#VALUE!</v>
      </c>
      <c r="AE190" s="19" t="e">
        <f>IF(AE189&lt;0.5,"most unlikely",IF(AE189&lt;5,"very unlikely",IF(AE189&lt;25,"unlikely",IF(AE189&lt;75,"possibly",IF(AE189&lt;95,"likely",IF(AE189&lt;99.5,"very likely","most likely"))))))</f>
        <v>#DIV/0!</v>
      </c>
    </row>
    <row r="191" spans="2:31" ht="33.9" customHeight="1" x14ac:dyDescent="0.25">
      <c r="B191" s="382" t="str">
        <f>"Non-clinical inference, based on threshold chances of "&amp;(100-$E$33)/2&amp;"% for substantial magnitudes"</f>
        <v>Non-clinical inference, based on threshold chances of 5% for substantial magnitudes</v>
      </c>
      <c r="C191" s="383"/>
      <c r="D191" s="278" t="str">
        <f>IF(MIN(D185,D189)&gt;(100-D177)/2,"unclear; get more data",IF(D187&gt;75,D188&amp;" trivial",IF(D185&gt;5,D186&amp;" +ive",D190&amp;" –ive")))</f>
        <v>unclear; get more data</v>
      </c>
      <c r="E191" s="278" t="e">
        <f>IF(MIN(E185,E189)&gt;(100-E177)/2,"unclear; get more data",IF(E187&gt;75,E188&amp;" trivial",IF(E185&gt;5,E186&amp;" +ive",E190&amp;" –ive")))</f>
        <v>#VALUE!</v>
      </c>
      <c r="F191" s="278" t="e">
        <f>IF(MIN(F185,F189)&gt;(100-F177)/2,"unclear; get more data",IF(F187&gt;75,F188&amp;" trivial",IF(F185&gt;5,F186&amp;" +ive",F190&amp;" –ive")))</f>
        <v>#VALUE!</v>
      </c>
      <c r="G191" s="22"/>
      <c r="H191" s="22"/>
      <c r="I191" s="382" t="str">
        <f>"Non-clinical inference, based on threshold chances of "&amp;(100-$E$33)/2&amp;"% for substantial magnitudes"</f>
        <v>Non-clinical inference, based on threshold chances of 5% for substantial magnitudes</v>
      </c>
      <c r="J191" s="383"/>
      <c r="K191" s="278" t="e">
        <f>IF(MIN(K185,K189)&gt;(100-K177)/2,"unclear; get more data",IF(K187&gt;75,K188&amp;" trivial",IF(K185&gt;5,K186&amp;" +ive",K190&amp;" –ive")))</f>
        <v>#VALUE!</v>
      </c>
      <c r="L191" s="278" t="e">
        <f>IF(MIN(L185,L189)&gt;(100-L177)/2,"unclear; get more data",IF(L187&gt;75,L188&amp;" trivial",IF(L185&gt;5,L186&amp;" +ive",L190&amp;" –ive")))</f>
        <v>#VALUE!</v>
      </c>
      <c r="M191" s="278" t="e">
        <f>IF(MIN(M185,M189)&gt;(100-M177)/2,"unclear; get more data",IF(M187&gt;75,M188&amp;" trivial",IF(M185&gt;5,M186&amp;" +ive",M190&amp;" –ive")))</f>
        <v>#VALUE!</v>
      </c>
      <c r="N191" s="278" t="e">
        <f>IF(MIN(N185,N189)&gt;(100-N177)/2,"unclear; get more data",IF(N187&gt;75,N188&amp;" trivial",IF(N185&gt;5,N186&amp;" +ive",N190&amp;" –ive")))</f>
        <v>#VALUE!</v>
      </c>
      <c r="O191" s="278" t="e">
        <f>IF(MIN(O185,O189)&gt;(100-O177)/2,"unclear; get more data",IF(O187&gt;75,O188&amp;" trivial",IF(O185&gt;5,O186&amp;" +ive",O190&amp;" –ive")))</f>
        <v>#DIV/0!</v>
      </c>
      <c r="R191" s="382" t="str">
        <f>"Non-clinical inference, based on threshold chances of "&amp;(100-$E$33)/2&amp;"% for substantial magnitudes"</f>
        <v>Non-clinical inference, based on threshold chances of 5% for substantial magnitudes</v>
      </c>
      <c r="S191" s="383"/>
      <c r="T191" s="253"/>
      <c r="U191" s="278" t="e">
        <f>IF(MIN(U185,U189)&gt;(100-U177)/2,"unclear; get more data",IF(U187&gt;75,U188&amp;" trivial",IF(U185&gt;5,U186&amp;" +ive",U190&amp;" –ive")))</f>
        <v>#VALUE!</v>
      </c>
      <c r="V191" s="278" t="e">
        <f>IF(MIN(V185,V189)&gt;(100-V177)/2,"unclear; get more data",IF(V187&gt;75,V188&amp;" trivial",IF(V185&gt;5,V186&amp;" +ive",V190&amp;" –ive")))</f>
        <v>#VALUE!</v>
      </c>
      <c r="W191" s="22"/>
      <c r="X191" s="22"/>
      <c r="Y191" s="382" t="str">
        <f>"Non-clinical inference, based on threshold chances of "&amp;(100-$E$33)/2&amp;"% for substantial magnitudes"</f>
        <v>Non-clinical inference, based on threshold chances of 5% for substantial magnitudes</v>
      </c>
      <c r="Z191" s="383"/>
      <c r="AA191" s="278" t="e">
        <f>IF(MIN(AA185,AA189)&gt;(100-AA177)/2,"unclear; get more data",IF(AA187&gt;75,AA188&amp;" trivial",IF(AA185&gt;5,AA186&amp;" +ive",AA190&amp;" –ive")))</f>
        <v>#VALUE!</v>
      </c>
      <c r="AB191" s="278" t="e">
        <f>IF(MIN(AB185,AB189)&gt;(100-AB177)/2,"unclear; get more data",IF(AB187&gt;75,AB188&amp;" trivial",IF(AB185&gt;5,AB186&amp;" +ive",AB190&amp;" –ive")))</f>
        <v>#VALUE!</v>
      </c>
      <c r="AC191" s="278" t="e">
        <f>IF(MIN(AC185,AC189)&gt;(100-AC177)/2,"unclear; get more data",IF(AC187&gt;75,AC188&amp;" trivial",IF(AC185&gt;5,AC186&amp;" +ive",AC190&amp;" –ive")))</f>
        <v>#VALUE!</v>
      </c>
      <c r="AD191" s="278" t="e">
        <f>IF(MIN(AD185,AD189)&gt;(100-AD177)/2,"unclear; get more data",IF(AD187&gt;75,AD188&amp;" trivial",IF(AD185&gt;5,AD186&amp;" +ive",AD190&amp;" –ive")))</f>
        <v>#VALUE!</v>
      </c>
      <c r="AE191" s="278" t="e">
        <f>IF(MIN(AE185,AE189)&gt;(100-AE177)/2,"unclear; get more data",IF(AE187&gt;75,AE188&amp;" trivial",IF(AE185&gt;5,AE186&amp;" +ive",AE190&amp;" –ive")))</f>
        <v>#DIV/0!</v>
      </c>
    </row>
    <row r="192" spans="2:31" ht="33.9" customHeight="1" x14ac:dyDescent="0.25">
      <c r="B192" s="382"/>
      <c r="C192" s="383"/>
      <c r="D192" s="278"/>
      <c r="E192" s="278"/>
      <c r="F192" s="278"/>
      <c r="G192" s="22"/>
      <c r="H192" s="22"/>
      <c r="I192" s="382" t="str">
        <f>"Clinical inference, based on threshold chances of harm and benefit of "&amp;$E$36&amp;"% and "&amp;$E$37&amp;"%"</f>
        <v>Clinical inference, based on threshold chances of harm and benefit of 0.5% and 25%</v>
      </c>
      <c r="J192" s="383"/>
      <c r="K192" s="278" t="e">
        <f>IF($C$30&gt;0,IF(K189&gt;$E$37,IF(K185&lt;$E$36,K190&amp;" beneficial","unclear; get more data"),IF(K185&gt;25,K186&amp;" harmful",K188&amp;" trivial")),IF(K185&gt;$E$37,IF(K189&lt;$E$36,K186&amp;" beneficial","unclear; get more data"),IF(K189&gt;25,K190&amp;" harmful",K188&amp;" trivial")))</f>
        <v>#VALUE!</v>
      </c>
      <c r="L192" s="278" t="e">
        <f>IF($C$30&gt;0,IF(L189&gt;$E$37,IF(L185&lt;$E$36,L190&amp;" beneficial","unclear; get more data"),IF(L185&gt;25,L186&amp;" harmful",L188&amp;" trivial")),IF(L185&gt;$E$37,IF(L189&lt;$E$36,L186&amp;" beneficial","unclear; get more data"),IF(L189&gt;25,L190&amp;" harmful",L188&amp;" trivial")))</f>
        <v>#VALUE!</v>
      </c>
      <c r="M192" s="278" t="e">
        <f>IF($C$30&gt;0,IF(M189&gt;$E$37,IF(M185&lt;$E$36,M190&amp;" beneficial","unclear; get more data"),IF(M185&gt;25,M186&amp;" harmful",M188&amp;" trivial")),IF(M185&gt;$E$37,IF(M189&lt;$E$36,M186&amp;" beneficial","unclear; get more data"),IF(M189&gt;25,M190&amp;" harmful",M188&amp;" trivial")))</f>
        <v>#VALUE!</v>
      </c>
      <c r="N192" s="278" t="e">
        <f>IF($C$30&gt;0,IF(N189&gt;$E$37,IF(N185&lt;$E$36,N190&amp;" beneficial","unclear; get more data"),IF(N185&gt;25,N186&amp;" harmful",N188&amp;" trivial")),IF(N185&gt;$E$37,IF(N189&lt;$E$36,N186&amp;" beneficial","unclear; get more data"),IF(N189&gt;25,N190&amp;" harmful",N188&amp;" trivial")))</f>
        <v>#VALUE!</v>
      </c>
      <c r="O192" s="278" t="e">
        <f>IF($C$30&gt;0,IF(O189&gt;$E$37,IF(O185&lt;$E$36,O190&amp;" beneficial","unclear; get more data"),IF(O185&gt;25,O186&amp;" harmful",O188&amp;" trivial")),IF(O185&gt;$E$37,IF(O189&lt;$E$36,O186&amp;" beneficial","unclear; get more data"),IF(O189&gt;25,O190&amp;" harmful",O188&amp;" trivial")))</f>
        <v>#DIV/0!</v>
      </c>
      <c r="R192" s="382"/>
      <c r="S192" s="383"/>
      <c r="T192" s="253"/>
      <c r="U192" s="278"/>
      <c r="V192" s="278"/>
      <c r="W192" s="22"/>
      <c r="X192" s="22"/>
      <c r="Y192" s="382" t="str">
        <f>"Clinical inference, based on threshold chances of harm and benefit of "&amp;$E$36&amp;"% and "&amp;$E$37&amp;"%"</f>
        <v>Clinical inference, based on threshold chances of harm and benefit of 0.5% and 25%</v>
      </c>
      <c r="Z192" s="383"/>
      <c r="AA192" s="278" t="e">
        <f>IF($C$30&gt;0,IF(AA189&gt;$E$37,IF(AA185&lt;$E$36,AA190&amp;" beneficial","unclear; get more data"),IF(AA185&gt;25,AA186&amp;" harmful",AA188&amp;" trivial")),IF(AA185&gt;$E$37,IF(AA189&lt;$E$36,AA186&amp;" beneficial","unclear; get more data"),IF(AA189&gt;25,AA190&amp;" harmful",AA188&amp;" trivial")))</f>
        <v>#VALUE!</v>
      </c>
      <c r="AB192" s="278" t="e">
        <f>IF($C$30&gt;0,IF(AB189&gt;$E$37,IF(AB185&lt;$E$36,AB190&amp;" beneficial","unclear; get more data"),IF(AB185&gt;25,AB186&amp;" harmful",AB188&amp;" trivial")),IF(AB185&gt;$E$37,IF(AB189&lt;$E$36,AB186&amp;" beneficial","unclear; get more data"),IF(AB189&gt;25,AB190&amp;" harmful",AB188&amp;" trivial")))</f>
        <v>#VALUE!</v>
      </c>
      <c r="AC192" s="278" t="e">
        <f>IF($C$30&gt;0,IF(AC189&gt;$E$37,IF(AC185&lt;$E$36,AC190&amp;" beneficial","unclear; get more data"),IF(AC185&gt;25,AC186&amp;" harmful",AC188&amp;" trivial")),IF(AC185&gt;$E$37,IF(AC189&lt;$E$36,AC186&amp;" beneficial","unclear; get more data"),IF(AC189&gt;25,AC190&amp;" harmful",AC188&amp;" trivial")))</f>
        <v>#VALUE!</v>
      </c>
      <c r="AD192" s="278" t="e">
        <f>IF($C$30&gt;0,IF(AD189&gt;$E$37,IF(AD185&lt;$E$36,AD190&amp;" beneficial","unclear; get more data"),IF(AD185&gt;25,AD186&amp;" harmful",AD188&amp;" trivial")),IF(AD185&gt;$E$37,IF(AD189&lt;$E$36,AD186&amp;" beneficial","unclear; get more data"),IF(AD189&gt;25,AD190&amp;" harmful",AD188&amp;" trivial")))</f>
        <v>#VALUE!</v>
      </c>
      <c r="AE192" s="278" t="e">
        <f>IF($C$30&gt;0,IF(AE189&gt;$E$37,IF(AE185&lt;$E$36,AE190&amp;" beneficial","unclear; get more data"),IF(AE185&gt;25,AE186&amp;" harmful",AE188&amp;" trivial")),IF(AE185&gt;$E$37,IF(AE189&lt;$E$36,AE186&amp;" beneficial","unclear; get more data"),IF(AE189&gt;25,AE190&amp;" harmful",AE188&amp;" trivial")))</f>
        <v>#DIV/0!</v>
      </c>
    </row>
    <row r="193" spans="2:31" ht="12.6" customHeight="1" x14ac:dyDescent="0.25">
      <c r="B193" s="382"/>
      <c r="C193" s="383"/>
      <c r="D193" s="295"/>
      <c r="E193" s="295"/>
      <c r="F193" s="295"/>
      <c r="G193" s="22"/>
      <c r="H193" s="22"/>
      <c r="I193" s="382" t="s">
        <v>182</v>
      </c>
      <c r="J193" s="383"/>
      <c r="K193" s="295" t="e">
        <f>IF($C$30&gt;0,K189/(100-K189)/(K185/(100-K185)),K185/(100-K185)/(K189/(100-K189)))</f>
        <v>#VALUE!</v>
      </c>
      <c r="L193" s="295" t="e">
        <f>IF($C$30&gt;0,L189/(100-L189)/(L185/(100-L185)),L185/(100-L185)/(L189/(100-L189)))</f>
        <v>#VALUE!</v>
      </c>
      <c r="M193" s="295" t="e">
        <f>IF($C$30&gt;0,M189/(100-M189)/(M185/(100-M185)),M185/(100-M185)/(M189/(100-M189)))</f>
        <v>#VALUE!</v>
      </c>
      <c r="N193" s="295" t="e">
        <f>IF($C$30&gt;0,N189/(100-N189)/(N185/(100-N185)),N185/(100-N185)/(N189/(100-N189)))</f>
        <v>#VALUE!</v>
      </c>
      <c r="O193" s="295" t="e">
        <f>IF($C$30&gt;0,O189/(100-O189)/(O185/(100-O185)),O185/(100-O185)/(O189/(100-O189)))</f>
        <v>#DIV/0!</v>
      </c>
      <c r="R193" s="382"/>
      <c r="S193" s="383"/>
      <c r="T193" s="253"/>
      <c r="U193" s="295"/>
      <c r="V193" s="295"/>
      <c r="W193" s="22"/>
      <c r="X193" s="22"/>
      <c r="Y193" s="382" t="s">
        <v>182</v>
      </c>
      <c r="Z193" s="383"/>
      <c r="AA193" s="295" t="e">
        <f>IF($C$30&gt;0,AA189/(100-AA189)/(AA185/(100-AA185)),AA185/(100-AA185)/(AA189/(100-AA189)))</f>
        <v>#VALUE!</v>
      </c>
      <c r="AB193" s="295" t="e">
        <f>IF($C$30&gt;0,AB189/(100-AB189)/(AB185/(100-AB185)),AB185/(100-AB185)/(AB189/(100-AB189)))</f>
        <v>#VALUE!</v>
      </c>
      <c r="AC193" s="295" t="e">
        <f>IF($C$30&gt;0,AC189/(100-AC189)/(AC185/(100-AC185)),AC185/(100-AC185)/(AC189/(100-AC189)))</f>
        <v>#VALUE!</v>
      </c>
      <c r="AD193" s="295" t="e">
        <f>IF($C$30&gt;0,AD189/(100-AD189)/(AD185/(100-AD185)),AD185/(100-AD185)/(AD189/(100-AD189)))</f>
        <v>#VALUE!</v>
      </c>
      <c r="AE193" s="295" t="e">
        <f>IF($C$30&gt;0,AE189/(100-AE189)/(AE185/(100-AE185)),AE185/(100-AE185)/(AE189/(100-AE189)))</f>
        <v>#DIV/0!</v>
      </c>
    </row>
    <row r="194" spans="2:31" ht="33.9" customHeight="1" x14ac:dyDescent="0.25">
      <c r="B194" s="382"/>
      <c r="C194" s="383"/>
      <c r="D194" s="253"/>
      <c r="E194" s="253"/>
      <c r="F194" s="253"/>
      <c r="G194" s="22"/>
      <c r="H194" s="22"/>
      <c r="I194" s="382" t="str">
        <f>"Clinical inference as above, but declaring beneficial when odds ratio of benefit/harm is &gt;"&amp;$E$38</f>
        <v>Clinical inference as above, but declaring beneficial when odds ratio of benefit/harm is &gt;66</v>
      </c>
      <c r="J194" s="383"/>
      <c r="K194" s="253" t="e">
        <f>IF(K193&gt;$E$38,IF($C$30&gt;0,K190,K186)&amp;" beneficial",IF($C$30&gt;0,IF(K189&gt;$E$37,IF(K185&lt;$E$36,K190&amp;" beneficial","unclear; get more data"),IF(K185&gt;25,K186&amp;" harmful",K188&amp;" trivial")),IF(K185&gt;$E$37,IF(K189&lt;$E$36,K186&amp;" beneficial","unclear; get more data"),IF(K189&gt;25,K190&amp;" harmful",K188&amp;" trivial"))))</f>
        <v>#VALUE!</v>
      </c>
      <c r="L194" s="253" t="e">
        <f>IF(L193&gt;$E$38,IF($C$30&gt;0,L190,L186)&amp;" beneficial",IF($C$30&gt;0,IF(L189&gt;$E$37,IF(L185&lt;$E$36,L190&amp;" beneficial","unclear; get more data"),IF(L185&gt;25,L186&amp;" harmful",L188&amp;" trivial")),IF(L185&gt;$E$37,IF(L189&lt;$E$36,L186&amp;" beneficial","unclear; get more data"),IF(L189&gt;25,L190&amp;" harmful",L188&amp;" trivial"))))</f>
        <v>#VALUE!</v>
      </c>
      <c r="M194" s="253" t="e">
        <f>IF(M193&gt;$E$38,IF($C$30&gt;0,M190,M186)&amp;" beneficial",IF($C$30&gt;0,IF(M189&gt;$E$37,IF(M185&lt;$E$36,M190&amp;" beneficial","unclear; get more data"),IF(M185&gt;25,M186&amp;" harmful",M188&amp;" trivial")),IF(M185&gt;$E$37,IF(M189&lt;$E$36,M186&amp;" beneficial","unclear; get more data"),IF(M189&gt;25,M190&amp;" harmful",M188&amp;" trivial"))))</f>
        <v>#VALUE!</v>
      </c>
      <c r="N194" s="253" t="e">
        <f>IF(N193&gt;$E$38,IF($C$30&gt;0,N190,N186)&amp;" beneficial",IF($C$30&gt;0,IF(N189&gt;$E$37,IF(N185&lt;$E$36,N190&amp;" beneficial","unclear; get more data"),IF(N185&gt;25,N186&amp;" harmful",N188&amp;" trivial")),IF(N185&gt;$E$37,IF(N189&lt;$E$36,N186&amp;" beneficial","unclear; get more data"),IF(N189&gt;25,N190&amp;" harmful",N188&amp;" trivial"))))</f>
        <v>#VALUE!</v>
      </c>
      <c r="O194" s="253" t="e">
        <f>IF(O193&gt;$E$38,IF($C$30&gt;0,O190,O186)&amp;" beneficial",IF($C$30&gt;0,IF(O189&gt;$E$37,IF(O185&lt;$E$36,O190&amp;" beneficial","unclear; get more data"),IF(O185&gt;25,O186&amp;" harmful",O188&amp;" trivial")),IF(O185&gt;$E$37,IF(O189&lt;$E$36,O186&amp;" beneficial","unclear; get more data"),IF(O189&gt;25,O190&amp;" harmful",O188&amp;" trivial"))))</f>
        <v>#DIV/0!</v>
      </c>
      <c r="R194" s="382"/>
      <c r="S194" s="383"/>
      <c r="T194" s="253"/>
      <c r="U194" s="253"/>
      <c r="V194" s="253"/>
      <c r="W194" s="22"/>
      <c r="X194" s="22"/>
      <c r="Y194" s="382" t="str">
        <f>"Clinical inference as above, but declaring beneficial when odds ratio of benefit/harm is &gt;"&amp;$E$38</f>
        <v>Clinical inference as above, but declaring beneficial when odds ratio of benefit/harm is &gt;66</v>
      </c>
      <c r="Z194" s="383"/>
      <c r="AA194" s="253" t="e">
        <f>IF(AA193&gt;$E$38,IF($C$30&gt;0,AA190,AA186)&amp;" beneficial",IF($C$30&gt;0,IF(AA189&gt;$E$37,IF(AA185&lt;$E$36,AA190&amp;" beneficial","unclear; get more data"),IF(AA185&gt;25,AA186&amp;" harmful",AA188&amp;" trivial")),IF(AA185&gt;$E$37,IF(AA189&lt;$E$36,AA186&amp;" beneficial","unclear; get more data"),IF(AA189&gt;25,AA190&amp;" harmful",AA188&amp;" trivial"))))</f>
        <v>#VALUE!</v>
      </c>
      <c r="AB194" s="253" t="e">
        <f>IF(AB193&gt;$E$38,IF($C$30&gt;0,AB190,AB186)&amp;" beneficial",IF($C$30&gt;0,IF(AB189&gt;$E$37,IF(AB185&lt;$E$36,AB190&amp;" beneficial","unclear; get more data"),IF(AB185&gt;25,AB186&amp;" harmful",AB188&amp;" trivial")),IF(AB185&gt;$E$37,IF(AB189&lt;$E$36,AB186&amp;" beneficial","unclear; get more data"),IF(AB189&gt;25,AB190&amp;" harmful",AB188&amp;" trivial"))))</f>
        <v>#VALUE!</v>
      </c>
      <c r="AC194" s="253" t="e">
        <f>IF(AC193&gt;$E$38,IF($C$30&gt;0,AC190,AC186)&amp;" beneficial",IF($C$30&gt;0,IF(AC189&gt;$E$37,IF(AC185&lt;$E$36,AC190&amp;" beneficial","unclear; get more data"),IF(AC185&gt;25,AC186&amp;" harmful",AC188&amp;" trivial")),IF(AC185&gt;$E$37,IF(AC189&lt;$E$36,AC186&amp;" beneficial","unclear; get more data"),IF(AC189&gt;25,AC190&amp;" harmful",AC188&amp;" trivial"))))</f>
        <v>#VALUE!</v>
      </c>
      <c r="AD194" s="253" t="e">
        <f>IF(AD193&gt;$E$38,IF($C$30&gt;0,AD190,AD186)&amp;" beneficial",IF($C$30&gt;0,IF(AD189&gt;$E$37,IF(AD185&lt;$E$36,AD190&amp;" beneficial","unclear; get more data"),IF(AD185&gt;25,AD186&amp;" harmful",AD188&amp;" trivial")),IF(AD185&gt;$E$37,IF(AD189&lt;$E$36,AD186&amp;" beneficial","unclear; get more data"),IF(AD189&gt;25,AD190&amp;" harmful",AD188&amp;" trivial"))))</f>
        <v>#VALUE!</v>
      </c>
      <c r="AE194" s="253" t="e">
        <f>IF(AE193&gt;$E$38,IF($C$30&gt;0,AE190,AE186)&amp;" beneficial",IF($C$30&gt;0,IF(AE189&gt;$E$37,IF(AE185&lt;$E$36,AE190&amp;" beneficial","unclear; get more data"),IF(AE185&gt;25,AE186&amp;" harmful",AE188&amp;" trivial")),IF(AE185&gt;$E$37,IF(AE189&lt;$E$36,AE186&amp;" beneficial","unclear; get more data"),IF(AE189&gt;25,AE190&amp;" harmful",AE188&amp;" trivial"))))</f>
        <v>#DIV/0!</v>
      </c>
    </row>
    <row r="195" spans="2:31" ht="12.6" customHeight="1" x14ac:dyDescent="0.25">
      <c r="B195" s="89"/>
      <c r="C195" s="242" t="s">
        <v>117</v>
      </c>
      <c r="D195" s="243">
        <f>SQRT((D63^2+D94^2)/2)/(1-3/(4*D122-1))</f>
        <v>3.4098531503259344</v>
      </c>
      <c r="E195" s="244">
        <f>SQRT((E63^2+E94^2)/2)/(1-3/(4*E122-1))</f>
        <v>21.758540252793068</v>
      </c>
      <c r="F195" s="244">
        <f>SQRT((F63^2+F94^2)/2)/(1-3/(4*F122-1))</f>
        <v>22.2225189100504</v>
      </c>
      <c r="I195" s="46"/>
      <c r="J195" s="45" t="s">
        <v>26</v>
      </c>
      <c r="K195" s="47">
        <f>E115</f>
        <v>22.508220274455368</v>
      </c>
      <c r="L195" s="47">
        <f>$K$195</f>
        <v>22.508220274455368</v>
      </c>
      <c r="M195" s="47">
        <f>$K$195</f>
        <v>22.508220274455368</v>
      </c>
      <c r="N195" s="47">
        <f>$K$195</f>
        <v>22.508220274455368</v>
      </c>
      <c r="O195" s="47">
        <f>$K$195</f>
        <v>22.508220274455368</v>
      </c>
      <c r="R195" s="89"/>
      <c r="S195" s="242" t="s">
        <v>117</v>
      </c>
      <c r="T195" s="243"/>
      <c r="U195" s="244">
        <f>SQRT((U63^2+U94^2)/2)/(1-3/(4*U122-1))</f>
        <v>5.5488781236041058</v>
      </c>
      <c r="V195" s="244">
        <f>SQRT((V63^2+V94^2)/2)/(1-3/(4*V122-1))</f>
        <v>5.6240129753655212</v>
      </c>
      <c r="Y195" s="46"/>
      <c r="Z195" s="45" t="s">
        <v>26</v>
      </c>
      <c r="AA195" s="47">
        <f>U115</f>
        <v>5.7144101996314856</v>
      </c>
      <c r="AB195" s="47">
        <f>$AA$195</f>
        <v>5.7144101996314856</v>
      </c>
      <c r="AC195" s="47">
        <f>$AA$195</f>
        <v>5.7144101996314856</v>
      </c>
      <c r="AD195" s="47">
        <f>$AA$195</f>
        <v>5.7144101996314856</v>
      </c>
      <c r="AE195" s="47">
        <f>$AA$195</f>
        <v>5.7144101996314856</v>
      </c>
    </row>
    <row r="196" spans="2:31" ht="12.75" customHeight="1" x14ac:dyDescent="0.25">
      <c r="B196" s="398" t="s">
        <v>157</v>
      </c>
      <c r="C196" s="399"/>
      <c r="D196" s="53">
        <f>D146/D195</f>
        <v>-0.62114233257739604</v>
      </c>
      <c r="E196" s="53">
        <f>E146/E195</f>
        <v>-0.32741083732287929</v>
      </c>
      <c r="F196" s="53">
        <f>F146/F195</f>
        <v>0.34439140245939104</v>
      </c>
      <c r="I196" s="398" t="s">
        <v>158</v>
      </c>
      <c r="J196" s="399"/>
      <c r="K196" s="53">
        <f>K146/K195</f>
        <v>0.2998578394568604</v>
      </c>
      <c r="L196" s="53">
        <f>L146/L195</f>
        <v>0.4454531575676951</v>
      </c>
      <c r="M196" s="53">
        <f>M146/M195</f>
        <v>0.68867603811082412</v>
      </c>
      <c r="N196" s="53">
        <f>N146/N195</f>
        <v>0.48064109021426993</v>
      </c>
      <c r="O196" s="53" t="e">
        <f>O146/O195</f>
        <v>#DIV/0!</v>
      </c>
      <c r="R196" s="398" t="s">
        <v>157</v>
      </c>
      <c r="S196" s="399"/>
      <c r="T196" s="35"/>
      <c r="U196" s="53">
        <f>U258/U195</f>
        <v>-6.8428024904773607E-2</v>
      </c>
      <c r="V196" s="53">
        <f>V258/V195</f>
        <v>0.44328128090363916</v>
      </c>
      <c r="Y196" s="398" t="s">
        <v>158</v>
      </c>
      <c r="Z196" s="399"/>
      <c r="AA196" s="53">
        <f>AA258/AA195</f>
        <v>0.32284568706265276</v>
      </c>
      <c r="AB196" s="53">
        <f>AB258/AB195</f>
        <v>0.40599007887054223</v>
      </c>
      <c r="AC196" s="53">
        <f>AC258/AC195</f>
        <v>0.68704747966219559</v>
      </c>
      <c r="AD196" s="53">
        <f>AD258/AD195</f>
        <v>0.47461863493690826</v>
      </c>
      <c r="AE196" s="53" t="e">
        <f>AE258/AE195</f>
        <v>#DIV/0!</v>
      </c>
    </row>
    <row r="197" spans="2:31" ht="12.75" customHeight="1" x14ac:dyDescent="0.25">
      <c r="B197" s="390" t="s">
        <v>131</v>
      </c>
      <c r="C197" s="21" t="s">
        <v>9</v>
      </c>
      <c r="D197" s="54">
        <f>D147/D195</f>
        <v>-1.0602536729577978</v>
      </c>
      <c r="E197" s="54">
        <f>E147/E195</f>
        <v>-0.91282718858280865</v>
      </c>
      <c r="F197" s="54">
        <f>F147/F195</f>
        <v>-0.77953968161901355</v>
      </c>
      <c r="I197" s="390" t="s">
        <v>131</v>
      </c>
      <c r="J197" s="21" t="s">
        <v>9</v>
      </c>
      <c r="K197" s="54">
        <f>K147/K195</f>
        <v>-0.41255156356353007</v>
      </c>
      <c r="L197" s="54">
        <f>L147/L195</f>
        <v>-0.2845548362221566</v>
      </c>
      <c r="M197" s="54">
        <f>M147/M195</f>
        <v>0.34221384310258313</v>
      </c>
      <c r="N197" s="54">
        <f>N147/N195</f>
        <v>-0.36593003759249515</v>
      </c>
      <c r="O197" s="54" t="e">
        <f>O147/O195</f>
        <v>#DIV/0!</v>
      </c>
      <c r="R197" s="390" t="s">
        <v>131</v>
      </c>
      <c r="S197" s="21" t="s">
        <v>9</v>
      </c>
      <c r="T197" s="21"/>
      <c r="U197" s="54">
        <f>U259/U195</f>
        <v>-0.85422735498039604</v>
      </c>
      <c r="V197" s="54">
        <f>V259/V195</f>
        <v>-0.72938019208771976</v>
      </c>
      <c r="Y197" s="390" t="s">
        <v>131</v>
      </c>
      <c r="Z197" s="21" t="s">
        <v>9</v>
      </c>
      <c r="AA197" s="54">
        <f>AA259/AA195</f>
        <v>-0.38530235547917008</v>
      </c>
      <c r="AB197" s="54">
        <f>AB259/AB195</f>
        <v>-0.30735244563404779</v>
      </c>
      <c r="AC197" s="54">
        <f>AC259/AC195</f>
        <v>0.3551439446248848</v>
      </c>
      <c r="AD197" s="54">
        <f>AD259/AD195</f>
        <v>-0.34396376224440195</v>
      </c>
      <c r="AE197" s="54" t="e">
        <f>AE259/AE195</f>
        <v>#DIV/0!</v>
      </c>
    </row>
    <row r="198" spans="2:31" x14ac:dyDescent="0.25">
      <c r="B198" s="391"/>
      <c r="C198" s="11" t="s">
        <v>10</v>
      </c>
      <c r="D198" s="55">
        <f>D148/D195</f>
        <v>0.59371900456455284</v>
      </c>
      <c r="E198" s="55">
        <f>E148/E195</f>
        <v>0.78667513207362549</v>
      </c>
      <c r="F198" s="55">
        <f>F148/F195</f>
        <v>0.91918060869154838</v>
      </c>
      <c r="I198" s="391"/>
      <c r="J198" s="11" t="s">
        <v>10</v>
      </c>
      <c r="K198" s="55">
        <f>K148/K195</f>
        <v>0.59163184529417079</v>
      </c>
      <c r="L198" s="55">
        <f>L148/L195</f>
        <v>0.69125139131250779</v>
      </c>
      <c r="M198" s="55">
        <f>M148/M195</f>
        <v>0.91183280075077533</v>
      </c>
      <c r="N198" s="55">
        <f>N148/N195</f>
        <v>0.77196924007188827</v>
      </c>
      <c r="O198" s="55" t="e">
        <f>O148/O195</f>
        <v>#DIV/0!</v>
      </c>
      <c r="R198" s="391"/>
      <c r="S198" s="11" t="s">
        <v>10</v>
      </c>
      <c r="T198" s="11"/>
      <c r="U198" s="55">
        <f>U260/U195</f>
        <v>0.84872821610458227</v>
      </c>
      <c r="V198" s="55">
        <f>V260/V195</f>
        <v>0.96176507142288159</v>
      </c>
      <c r="Y198" s="391"/>
      <c r="Z198" s="11" t="s">
        <v>10</v>
      </c>
      <c r="AA198" s="55">
        <f>AA260/AA195</f>
        <v>0.59742495800536255</v>
      </c>
      <c r="AB198" s="55">
        <f>AB260/AB195</f>
        <v>0.65124604729690938</v>
      </c>
      <c r="AC198" s="55">
        <f>AC260/AC195</f>
        <v>0.90440104888076434</v>
      </c>
      <c r="AD198" s="55">
        <f>AD260/AD195</f>
        <v>0.75421268021432242</v>
      </c>
      <c r="AE198" s="55" t="e">
        <f>AE260/AE195</f>
        <v>#DIV/0!</v>
      </c>
    </row>
    <row r="199" spans="2:31" x14ac:dyDescent="0.25">
      <c r="B199" s="86"/>
      <c r="C199" s="87"/>
      <c r="D199" s="254"/>
      <c r="E199" s="254"/>
      <c r="F199" s="254"/>
      <c r="I199" s="86"/>
      <c r="J199" s="87"/>
      <c r="K199" s="254"/>
      <c r="L199" s="254"/>
      <c r="M199" s="254"/>
      <c r="N199" s="254"/>
      <c r="O199" s="254"/>
      <c r="R199" s="86"/>
      <c r="S199" s="87"/>
      <c r="T199" s="87"/>
      <c r="U199" s="254"/>
      <c r="V199" s="254"/>
      <c r="Y199" s="86"/>
      <c r="Z199" s="87"/>
      <c r="AA199" s="254"/>
      <c r="AB199" s="254"/>
      <c r="AC199" s="254"/>
      <c r="AD199" s="254"/>
      <c r="AE199" s="254"/>
    </row>
    <row r="200" spans="2:31" x14ac:dyDescent="0.25">
      <c r="B200" s="113" t="s">
        <v>4</v>
      </c>
      <c r="D200" s="111" t="str">
        <f>CONCATENATE($B$73,"/",$B$42," ratio")</f>
        <v>Exptal/Control ratio</v>
      </c>
      <c r="H200" s="22"/>
      <c r="R200" s="113" t="s">
        <v>5</v>
      </c>
      <c r="U200" s="111" t="str">
        <f>CONCATENATE($B$73,"/",$B$42," ratio")</f>
        <v>Exptal/Control ratio</v>
      </c>
      <c r="V200" s="111"/>
    </row>
    <row r="201" spans="2:31" ht="12.75" customHeight="1" x14ac:dyDescent="0.25">
      <c r="B201" s="446" t="s">
        <v>44</v>
      </c>
      <c r="C201" s="447"/>
      <c r="D201" s="90" t="str">
        <f>D41</f>
        <v>X</v>
      </c>
      <c r="E201" s="90" t="str">
        <f>E41</f>
        <v>Pre1</v>
      </c>
      <c r="F201" s="90" t="str">
        <f>F41</f>
        <v>Pre2</v>
      </c>
      <c r="G201" s="82"/>
      <c r="H201" s="22"/>
      <c r="R201" s="446" t="s">
        <v>44</v>
      </c>
      <c r="S201" s="447"/>
      <c r="T201" s="187"/>
      <c r="U201" s="90" t="str">
        <f>U41</f>
        <v>Pre1</v>
      </c>
      <c r="V201" s="90" t="str">
        <f>V41</f>
        <v>Pre2</v>
      </c>
      <c r="X201" s="100"/>
    </row>
    <row r="202" spans="2:31" s="323" customFormat="1" ht="12.75" customHeight="1" x14ac:dyDescent="0.25">
      <c r="B202" s="320"/>
      <c r="C202" s="321" t="s">
        <v>130</v>
      </c>
      <c r="D202" s="325">
        <f>$E$35</f>
        <v>90</v>
      </c>
      <c r="E202" s="325">
        <f>$E$35</f>
        <v>90</v>
      </c>
      <c r="F202" s="325">
        <f>$E$35</f>
        <v>90</v>
      </c>
      <c r="R202" s="324"/>
      <c r="S202" s="321" t="s">
        <v>130</v>
      </c>
      <c r="T202" s="325"/>
      <c r="U202" s="322">
        <f>$E$35</f>
        <v>90</v>
      </c>
      <c r="V202" s="322">
        <f>$E$35</f>
        <v>90</v>
      </c>
    </row>
    <row r="203" spans="2:31" ht="12" customHeight="1" x14ac:dyDescent="0.25">
      <c r="B203" s="20"/>
      <c r="C203" s="35" t="s">
        <v>139</v>
      </c>
      <c r="D203" s="53">
        <f>D94/D63</f>
        <v>0.81552662604094506</v>
      </c>
      <c r="E203" s="53">
        <f>E94/E63</f>
        <v>0.94567246978637221</v>
      </c>
      <c r="F203" s="53">
        <f>F94/F63</f>
        <v>1.0637703006872381</v>
      </c>
      <c r="H203" s="22"/>
      <c r="R203" s="20"/>
      <c r="S203" s="35" t="s">
        <v>139</v>
      </c>
      <c r="T203" s="53"/>
      <c r="U203" s="53">
        <f>U94/U63</f>
        <v>0.99756588918797384</v>
      </c>
      <c r="V203" s="53">
        <f>V94/V63</f>
        <v>1.1081318676566017</v>
      </c>
      <c r="X203" s="7"/>
    </row>
    <row r="204" spans="2:31" ht="12.75" customHeight="1" x14ac:dyDescent="0.25">
      <c r="B204" s="395" t="s">
        <v>135</v>
      </c>
      <c r="C204" s="21" t="s">
        <v>9</v>
      </c>
      <c r="D204" s="54">
        <f>SQRT(FINV((1-(100-D202)/100/2),D65,D96))*D203</f>
        <v>0.55383870985339534</v>
      </c>
      <c r="E204" s="54">
        <f>SQRT(FINV((1-(100-E202)/100/2),E65,E96))*E203</f>
        <v>0.64222307878892293</v>
      </c>
      <c r="F204" s="54">
        <f>SQRT(FINV((1-(100-F202)/100/2),F65,F96))*F203</f>
        <v>0.72242542683505051</v>
      </c>
      <c r="G204" s="44"/>
      <c r="H204" s="22"/>
      <c r="R204" s="448" t="s">
        <v>135</v>
      </c>
      <c r="S204" s="21" t="s">
        <v>9</v>
      </c>
      <c r="T204" s="54"/>
      <c r="U204" s="54">
        <f>SQRT(FINV((1-(100-U202)/100/2),U65,U96))*U203</f>
        <v>0.67746482753572745</v>
      </c>
      <c r="V204" s="54">
        <f>SQRT(FINV((1-(100-V202)/100/2),V65,V96))*V203</f>
        <v>0.75255215995799063</v>
      </c>
      <c r="X204" s="7"/>
    </row>
    <row r="205" spans="2:31" x14ac:dyDescent="0.25">
      <c r="B205" s="444"/>
      <c r="C205" s="11" t="s">
        <v>10</v>
      </c>
      <c r="D205" s="55">
        <f>SQRT(FINV((100-D202)/100/2,D65,D96))*D203</f>
        <v>1.200861669560402</v>
      </c>
      <c r="E205" s="55">
        <f>SQRT(FINV((100-E202)/100/2,E65,E96))*E203</f>
        <v>1.3925012190441417</v>
      </c>
      <c r="F205" s="55">
        <f>SQRT(FINV((100-F202)/100/2,F65,F96))*F203</f>
        <v>1.5664000886317</v>
      </c>
      <c r="G205" s="52"/>
      <c r="H205" s="22"/>
      <c r="R205" s="455"/>
      <c r="S205" s="11" t="s">
        <v>10</v>
      </c>
      <c r="T205" s="55"/>
      <c r="U205" s="55">
        <f>SQRT(FINV((100-U202)/100/2,U65,U96))*U203</f>
        <v>1.4689141972007576</v>
      </c>
      <c r="V205" s="55">
        <f>SQRT(FINV((100-V202)/100/2,V65,V96))*V203</f>
        <v>1.631722425970654</v>
      </c>
      <c r="X205" s="7"/>
    </row>
    <row r="206" spans="2:31" ht="12.75" customHeight="1" x14ac:dyDescent="0.25">
      <c r="B206" s="445"/>
      <c r="C206" s="24" t="s">
        <v>11</v>
      </c>
      <c r="D206" s="53">
        <f>SQRT(D205/D204)</f>
        <v>1.4724984215292936</v>
      </c>
      <c r="E206" s="53">
        <f>SQRT(E205/E204)</f>
        <v>1.4724984215292936</v>
      </c>
      <c r="F206" s="53">
        <f>SQRT(F205/F204)</f>
        <v>1.4724984215292936</v>
      </c>
      <c r="G206" s="52"/>
      <c r="H206" s="52"/>
      <c r="R206" s="449"/>
      <c r="S206" s="24" t="s">
        <v>11</v>
      </c>
      <c r="T206" s="53"/>
      <c r="U206" s="53">
        <f>SQRT(U205/U204)</f>
        <v>1.4724984215292936</v>
      </c>
      <c r="V206" s="53">
        <f>SQRT(V205/V204)</f>
        <v>1.4724984215292936</v>
      </c>
      <c r="X206" s="7"/>
    </row>
    <row r="207" spans="2:31" ht="12.75" customHeight="1" x14ac:dyDescent="0.25">
      <c r="B207" s="394" t="s">
        <v>140</v>
      </c>
      <c r="C207" s="94" t="s">
        <v>177</v>
      </c>
      <c r="D207" s="296" t="e">
        <f>IF($C$31&gt;1,$C$31,1/$C$31)</f>
        <v>#DIV/0!</v>
      </c>
      <c r="E207" s="296" t="e">
        <f>IF($C$31&gt;1,$C$31,1/$C$31)</f>
        <v>#DIV/0!</v>
      </c>
      <c r="F207" s="296" t="e">
        <f>IF($C$31&gt;1,$C$31,1/$C$31)</f>
        <v>#DIV/0!</v>
      </c>
      <c r="G207" s="52"/>
      <c r="H207" s="52"/>
      <c r="R207" s="448" t="s">
        <v>140</v>
      </c>
      <c r="S207" s="94" t="s">
        <v>177</v>
      </c>
      <c r="T207" s="235"/>
      <c r="U207" s="296" t="e">
        <f>IF($C$31&gt;1,$C$31,1/$C$31)</f>
        <v>#DIV/0!</v>
      </c>
      <c r="V207" s="296" t="e">
        <f>IF($C$31&gt;1,$C$31,1/$C$31)</f>
        <v>#DIV/0!</v>
      </c>
      <c r="X207" s="7"/>
    </row>
    <row r="208" spans="2:31" x14ac:dyDescent="0.25">
      <c r="B208" s="395"/>
      <c r="C208" s="94" t="s">
        <v>178</v>
      </c>
      <c r="D208" s="296" t="e">
        <f>IF($D$31&lt;1,$D$31,1/$D$31)</f>
        <v>#VALUE!</v>
      </c>
      <c r="E208" s="296" t="e">
        <f>IF($D$31&lt;1,$D$31,1/$D$31)</f>
        <v>#VALUE!</v>
      </c>
      <c r="F208" s="296" t="e">
        <f>IF($D$31&lt;1,$D$31,1/$D$31)</f>
        <v>#VALUE!</v>
      </c>
      <c r="G208" s="52"/>
      <c r="H208" s="52"/>
      <c r="R208" s="449"/>
      <c r="S208" s="94" t="s">
        <v>178</v>
      </c>
      <c r="T208" s="235"/>
      <c r="U208" s="296" t="e">
        <f>IF($D$31&lt;1,$D$31,1/$D$31)</f>
        <v>#VALUE!</v>
      </c>
      <c r="V208" s="296" t="e">
        <f>IF($D$31&lt;1,$D$31,1/$D$31)</f>
        <v>#VALUE!</v>
      </c>
      <c r="X208" s="7"/>
    </row>
    <row r="209" spans="2:31" ht="12.75" customHeight="1" x14ac:dyDescent="0.25">
      <c r="B209" s="448" t="s">
        <v>232</v>
      </c>
      <c r="C209" s="405" t="s">
        <v>180</v>
      </c>
      <c r="D209" s="67" t="e">
        <f>100*FDIST(1/D203^2*D207^2,D65,D96)</f>
        <v>#DIV/0!</v>
      </c>
      <c r="E209" s="67" t="e">
        <f>100*FDIST(1/E203^2*E207^2,E65,E96)</f>
        <v>#DIV/0!</v>
      </c>
      <c r="F209" s="67" t="e">
        <f>100*FDIST(1/F203^2*F207^2,F65,F96)</f>
        <v>#DIV/0!</v>
      </c>
      <c r="G209" s="52"/>
      <c r="H209" s="52"/>
      <c r="R209" s="448" t="s">
        <v>232</v>
      </c>
      <c r="S209" s="450" t="s">
        <v>180</v>
      </c>
      <c r="T209" s="67"/>
      <c r="U209" s="67" t="e">
        <f>100*FDIST(1/U203^2*U207^2,U65,U96)</f>
        <v>#DIV/0!</v>
      </c>
      <c r="V209" s="67" t="e">
        <f>100*FDIST(1/V203^2*V207^2,V65,V96)</f>
        <v>#DIV/0!</v>
      </c>
    </row>
    <row r="210" spans="2:31" x14ac:dyDescent="0.25">
      <c r="B210" s="455"/>
      <c r="C210" s="406"/>
      <c r="D210" s="19" t="e">
        <f>IF(D209&lt;0.5,"most unlikely",IF(D209&lt;5,"very unlikely",IF(D209&lt;25,"unlikely",IF(D209&lt;75,"possibly",IF(D209&lt;95,"likely",IF(D209&lt;99.5,"very likely","most likely"))))))</f>
        <v>#DIV/0!</v>
      </c>
      <c r="E210" s="19" t="e">
        <f>IF(E209&lt;0.5,"most unlikely",IF(E209&lt;5,"very unlikely",IF(E209&lt;25,"unlikely",IF(E209&lt;75,"possibly",IF(E209&lt;95,"likely",IF(E209&lt;99.5,"very likely","most likely"))))))</f>
        <v>#DIV/0!</v>
      </c>
      <c r="F210" s="19" t="e">
        <f>IF(F209&lt;0.5,"most unlikely",IF(F209&lt;5,"very unlikely",IF(F209&lt;25,"unlikely",IF(F209&lt;75,"possibly",IF(F209&lt;95,"likely",IF(F209&lt;99.5,"very likely","most likely"))))))</f>
        <v>#DIV/0!</v>
      </c>
      <c r="G210" s="52"/>
      <c r="H210" s="52"/>
      <c r="R210" s="455"/>
      <c r="S210" s="451"/>
      <c r="T210" s="19"/>
      <c r="U210" s="19" t="e">
        <f>IF(U209&lt;0.5,"most unlikely",IF(U209&lt;5,"very unlikely",IF(U209&lt;25,"unlikely",IF(U209&lt;75,"possibly",IF(U209&lt;95,"likely",IF(U209&lt;99.5,"very likely","most likely"))))))</f>
        <v>#DIV/0!</v>
      </c>
      <c r="V210" s="19" t="e">
        <f>IF(V209&lt;0.5,"most unlikely",IF(V209&lt;5,"very unlikely",IF(V209&lt;25,"unlikely",IF(V209&lt;75,"possibly",IF(V209&lt;95,"likely",IF(V209&lt;99.5,"very likely","most likely"))))))</f>
        <v>#DIV/0!</v>
      </c>
    </row>
    <row r="211" spans="2:31" ht="13.5" customHeight="1" x14ac:dyDescent="0.25">
      <c r="B211" s="455"/>
      <c r="C211" s="410" t="s">
        <v>12</v>
      </c>
      <c r="D211" s="67" t="e">
        <f>100-D209-D213</f>
        <v>#DIV/0!</v>
      </c>
      <c r="E211" s="67" t="e">
        <f>100-E209-E213</f>
        <v>#DIV/0!</v>
      </c>
      <c r="F211" s="67" t="e">
        <f>100-F209-F213</f>
        <v>#DIV/0!</v>
      </c>
      <c r="G211" s="52"/>
      <c r="H211" s="52"/>
      <c r="R211" s="455"/>
      <c r="S211" s="456" t="s">
        <v>12</v>
      </c>
      <c r="T211" s="67"/>
      <c r="U211" s="67" t="e">
        <f>100-U209-U213</f>
        <v>#DIV/0!</v>
      </c>
      <c r="V211" s="67" t="e">
        <f>100-V209-V213</f>
        <v>#DIV/0!</v>
      </c>
    </row>
    <row r="212" spans="2:31" ht="27" customHeight="1" x14ac:dyDescent="0.25">
      <c r="B212" s="455"/>
      <c r="C212" s="411"/>
      <c r="D212" s="19" t="e">
        <f>IF(D211&lt;0.5,"most unlikely",IF(D211&lt;5,"very unlikely",IF(D211&lt;25,"unlikely",IF(D211&lt;75,"possibly",IF(D211&lt;95,"likely",IF(D211&lt;99.5,"very likely","most likely"))))))</f>
        <v>#DIV/0!</v>
      </c>
      <c r="E212" s="19" t="e">
        <f>IF(E211&lt;0.5,"most unlikely",IF(E211&lt;5,"very unlikely",IF(E211&lt;25,"unlikely",IF(E211&lt;75,"possibly",IF(E211&lt;95,"likely",IF(E211&lt;99.5,"very likely","most likely"))))))</f>
        <v>#DIV/0!</v>
      </c>
      <c r="F212" s="19" t="e">
        <f>IF(F211&lt;0.5,"most unlikely",IF(F211&lt;5,"very unlikely",IF(F211&lt;25,"unlikely",IF(F211&lt;75,"possibly",IF(F211&lt;95,"likely",IF(F211&lt;99.5,"very likely","most likely"))))))</f>
        <v>#DIV/0!</v>
      </c>
      <c r="G212" s="52"/>
      <c r="H212" s="52"/>
      <c r="R212" s="455"/>
      <c r="S212" s="457"/>
      <c r="T212" s="19"/>
      <c r="U212" s="19" t="e">
        <f>IF(U211&lt;0.5,"most unlikely",IF(U211&lt;5,"very unlikely",IF(U211&lt;25,"unlikely",IF(U211&lt;75,"possibly",IF(U211&lt;95,"likely",IF(U211&lt;99.5,"very likely","most likely"))))))</f>
        <v>#DIV/0!</v>
      </c>
      <c r="V212" s="19" t="e">
        <f>IF(V211&lt;0.5,"most unlikely",IF(V211&lt;5,"very unlikely",IF(V211&lt;25,"unlikely",IF(V211&lt;75,"possibly",IF(V211&lt;95,"likely",IF(V211&lt;99.5,"very likely","most likely"))))))</f>
        <v>#DIV/0!</v>
      </c>
    </row>
    <row r="213" spans="2:31" ht="13.2" customHeight="1" x14ac:dyDescent="0.25">
      <c r="B213" s="455"/>
      <c r="C213" s="458" t="s">
        <v>181</v>
      </c>
      <c r="D213" s="67" t="e">
        <f>100-100*FDIST(1/D203^2*D208^2,D65,D96)</f>
        <v>#VALUE!</v>
      </c>
      <c r="E213" s="67" t="e">
        <f>100-100*FDIST(1/E203^2*E208^2,E65,E96)</f>
        <v>#VALUE!</v>
      </c>
      <c r="F213" s="67" t="e">
        <f>100-100*FDIST(1/F203^2*F208^2,F65,F96)</f>
        <v>#VALUE!</v>
      </c>
      <c r="G213" s="52"/>
      <c r="H213" s="52"/>
      <c r="R213" s="455"/>
      <c r="S213" s="442" t="s">
        <v>181</v>
      </c>
      <c r="T213" s="67"/>
      <c r="U213" s="67" t="e">
        <f>100-100*FDIST(1/U203^2*U208^2,U65,U96)</f>
        <v>#VALUE!</v>
      </c>
      <c r="V213" s="67" t="e">
        <f>100-100*FDIST(1/V203^2*V208^2,V65,V96)</f>
        <v>#VALUE!</v>
      </c>
    </row>
    <row r="214" spans="2:31" x14ac:dyDescent="0.25">
      <c r="B214" s="449"/>
      <c r="C214" s="428"/>
      <c r="D214" s="19" t="e">
        <f>IF(D213&lt;0.5,"most unlikely",IF(D213&lt;5,"very unlikely",IF(D213&lt;25,"unlikely",IF(D213&lt;75,"possibly",IF(D213&lt;95,"likely",IF(D213&lt;99.5,"very likely","most likely"))))))</f>
        <v>#VALUE!</v>
      </c>
      <c r="E214" s="19" t="e">
        <f>IF(E213&lt;0.5,"most unlikely",IF(E213&lt;5,"very unlikely",IF(E213&lt;25,"unlikely",IF(E213&lt;75,"possibly",IF(E213&lt;95,"likely",IF(E213&lt;99.5,"very likely","most likely"))))))</f>
        <v>#VALUE!</v>
      </c>
      <c r="F214" s="19" t="e">
        <f>IF(F213&lt;0.5,"most unlikely",IF(F213&lt;5,"very unlikely",IF(F213&lt;25,"unlikely",IF(F213&lt;75,"possibly",IF(F213&lt;95,"likely",IF(F213&lt;99.5,"very likely","most likely"))))))</f>
        <v>#VALUE!</v>
      </c>
      <c r="G214" s="52"/>
      <c r="H214" s="52"/>
      <c r="P214" s="22"/>
      <c r="Q214" s="22"/>
      <c r="R214" s="449"/>
      <c r="S214" s="443"/>
      <c r="T214" s="19"/>
      <c r="U214" s="19" t="e">
        <f>IF(U213&lt;0.5,"most unlikely",IF(U213&lt;5,"very unlikely",IF(U213&lt;25,"unlikely",IF(U213&lt;75,"possibly",IF(U213&lt;95,"likely",IF(U213&lt;99.5,"very likely","most likely"))))))</f>
        <v>#VALUE!</v>
      </c>
      <c r="V214" s="19" t="e">
        <f>IF(V213&lt;0.5,"most unlikely",IF(V213&lt;5,"very unlikely",IF(V213&lt;25,"unlikely",IF(V213&lt;75,"possibly",IF(V213&lt;95,"likely",IF(V213&lt;99.5,"very likely","most likely"))))))</f>
        <v>#VALUE!</v>
      </c>
    </row>
    <row r="215" spans="2:31" ht="33.9" customHeight="1" x14ac:dyDescent="0.25">
      <c r="B215" s="382" t="str">
        <f>"Non-clinical inference, based on threshold chances of "&amp;(100-$E$33)/2&amp;"% for substantial magnitudes"</f>
        <v>Non-clinical inference, based on threshold chances of 5% for substantial magnitudes</v>
      </c>
      <c r="C215" s="383"/>
      <c r="D215" s="297" t="e">
        <f>IF(MIN(D209,D213)&gt;(100-D202)/2,"unclear; get more data",IF(D209&gt;5,D210&amp;" &gt;",IF(D213&gt;5,D214&amp;" &lt;",D212&amp;" trivial")))</f>
        <v>#DIV/0!</v>
      </c>
      <c r="E215" s="297" t="e">
        <f>IF(MIN(E209,E213)&gt;(100-E202)/2,"unclear; get more data",IF(E209&gt;5,E210&amp;" &gt;",IF(E213&gt;5,E214&amp;" &lt;",E212&amp;" trivial")))</f>
        <v>#DIV/0!</v>
      </c>
      <c r="F215" s="297" t="e">
        <f>IF(MIN(F209,F213)&gt;(100-F202)/2,"unclear; get more data",IF(F209&gt;5,F210&amp;" &gt;",IF(F213&gt;5,F214&amp;" &lt;",F212&amp;" trivial")))</f>
        <v>#DIV/0!</v>
      </c>
      <c r="R215" s="382" t="str">
        <f>"Non-clinical inference, based on threshold chances of "&amp;(100-$E$33)/2&amp;"% for substantial magnitudes"</f>
        <v>Non-clinical inference, based on threshold chances of 5% for substantial magnitudes</v>
      </c>
      <c r="S215" s="383"/>
      <c r="T215" s="253"/>
      <c r="U215" s="297" t="e">
        <f>IF(MIN(U209,U213)&gt;(100-U202)/2,"unclear; get more data",IF(U209&gt;5,U210&amp;" &gt;",IF(U213&gt;5,U214&amp;" &lt;",U212&amp;" trivial")))</f>
        <v>#DIV/0!</v>
      </c>
      <c r="V215" s="297" t="e">
        <f>IF(MIN(V209,V213)&gt;(100-V202)/2,"unclear; get more data",IF(V209&gt;5,V210&amp;" &gt;",IF(V213&gt;5,V214&amp;" &lt;",V212&amp;" trivial")))</f>
        <v>#DIV/0!</v>
      </c>
    </row>
    <row r="216" spans="2:31" ht="12.75" customHeight="1" x14ac:dyDescent="0.25">
      <c r="B216" s="83"/>
      <c r="C216" s="84"/>
      <c r="D216" s="84"/>
      <c r="E216" s="85"/>
      <c r="F216" s="85"/>
      <c r="I216" s="113" t="s">
        <v>4</v>
      </c>
      <c r="K216" s="111" t="str">
        <f>CONCATENATE($B$42," data only")</f>
        <v>Control data only</v>
      </c>
      <c r="Y216" s="113" t="s">
        <v>5</v>
      </c>
      <c r="AA216" s="111" t="str">
        <f>CONCATENATE($B$42," data only")</f>
        <v>Control data only</v>
      </c>
    </row>
    <row r="217" spans="2:31" ht="25.5" customHeight="1" x14ac:dyDescent="0.25">
      <c r="B217" s="86"/>
      <c r="C217" s="87"/>
      <c r="D217" s="87"/>
      <c r="E217" s="88"/>
      <c r="F217" s="88"/>
      <c r="I217" s="403" t="s">
        <v>179</v>
      </c>
      <c r="J217" s="404"/>
      <c r="K217" s="76" t="str">
        <f>K41</f>
        <v>Pre2-Pre1</v>
      </c>
      <c r="L217" s="76" t="str">
        <f>L41</f>
        <v>Post1-Pre2</v>
      </c>
      <c r="M217" s="76" t="str">
        <f>M41</f>
        <v>Post2-Pre2</v>
      </c>
      <c r="N217" s="76" t="str">
        <f>N41</f>
        <v>Post2-Post1</v>
      </c>
      <c r="O217" s="76" t="str">
        <f>O41</f>
        <v>other effect</v>
      </c>
      <c r="Y217" s="403" t="s">
        <v>179</v>
      </c>
      <c r="Z217" s="404"/>
      <c r="AA217" s="76" t="str">
        <f>AA41</f>
        <v>Pre2-Pre1</v>
      </c>
      <c r="AB217" s="76" t="str">
        <f>AB41</f>
        <v>Post1-Pre2</v>
      </c>
      <c r="AC217" s="76" t="str">
        <f>AC41</f>
        <v>Post2-Pre2</v>
      </c>
      <c r="AD217" s="76" t="str">
        <f>AD41</f>
        <v>Post2-Post1</v>
      </c>
      <c r="AE217" s="76" t="str">
        <f>AE41</f>
        <v>other effect</v>
      </c>
    </row>
    <row r="218" spans="2:31" s="323" customFormat="1" x14ac:dyDescent="0.25">
      <c r="B218" s="52"/>
      <c r="C218" s="52"/>
      <c r="D218" s="52"/>
      <c r="E218" s="52"/>
      <c r="F218" s="52"/>
      <c r="G218" s="52"/>
      <c r="H218" s="52"/>
      <c r="I218" s="320"/>
      <c r="J218" s="321" t="s">
        <v>130</v>
      </c>
      <c r="K218" s="325">
        <f>$E$35</f>
        <v>90</v>
      </c>
      <c r="L218" s="325">
        <f>$E$35</f>
        <v>90</v>
      </c>
      <c r="M218" s="325">
        <f>$E$35</f>
        <v>90</v>
      </c>
      <c r="N218" s="325">
        <f>$E$35</f>
        <v>90</v>
      </c>
      <c r="O218" s="325">
        <f>$E$35</f>
        <v>90</v>
      </c>
      <c r="Y218" s="324"/>
      <c r="Z218" s="321" t="s">
        <v>130</v>
      </c>
      <c r="AA218" s="322">
        <f>$E$35</f>
        <v>90</v>
      </c>
      <c r="AB218" s="322">
        <f>$E$35</f>
        <v>90</v>
      </c>
      <c r="AC218" s="322">
        <f>$E$35</f>
        <v>90</v>
      </c>
      <c r="AD218" s="322">
        <f>$E$35</f>
        <v>90</v>
      </c>
      <c r="AE218" s="322">
        <f>$E$35</f>
        <v>90</v>
      </c>
    </row>
    <row r="219" spans="2:31" x14ac:dyDescent="0.25">
      <c r="I219" s="20"/>
      <c r="J219" s="23" t="s">
        <v>129</v>
      </c>
      <c r="K219" s="18">
        <f>K65</f>
        <v>19</v>
      </c>
      <c r="L219" s="18">
        <f>L65</f>
        <v>19</v>
      </c>
      <c r="M219" s="18">
        <f>M65</f>
        <v>19</v>
      </c>
      <c r="N219" s="18">
        <f>N65</f>
        <v>19</v>
      </c>
      <c r="O219" s="18">
        <f>O65</f>
        <v>-1</v>
      </c>
      <c r="Y219" s="20"/>
      <c r="Z219" s="23" t="s">
        <v>129</v>
      </c>
      <c r="AA219" s="18">
        <f>AA65</f>
        <v>19</v>
      </c>
      <c r="AB219" s="18">
        <f>AB65</f>
        <v>19</v>
      </c>
      <c r="AC219" s="18">
        <f>AC65</f>
        <v>19</v>
      </c>
      <c r="AD219" s="18">
        <f>AD65</f>
        <v>19</v>
      </c>
      <c r="AE219" s="18">
        <f>AE65</f>
        <v>-1</v>
      </c>
    </row>
    <row r="220" spans="2:31" ht="12.75" customHeight="1" x14ac:dyDescent="0.25">
      <c r="I220" s="107" t="s">
        <v>58</v>
      </c>
      <c r="J220" s="108"/>
      <c r="K220" s="108"/>
      <c r="L220" s="108"/>
      <c r="M220" s="108"/>
      <c r="N220" s="108"/>
      <c r="O220" s="109"/>
      <c r="Y220" s="107" t="s">
        <v>52</v>
      </c>
      <c r="Z220" s="108"/>
      <c r="AA220" s="108"/>
      <c r="AB220" s="108"/>
      <c r="AC220" s="108"/>
      <c r="AD220" s="109"/>
      <c r="AE220" s="109"/>
    </row>
    <row r="221" spans="2:31" x14ac:dyDescent="0.25">
      <c r="I221" s="20"/>
      <c r="J221" s="29" t="s">
        <v>138</v>
      </c>
      <c r="K221" s="106">
        <f>K63/SQRT(2)</f>
        <v>8.6700660819997761</v>
      </c>
      <c r="L221" s="106">
        <f>L63/SQRT(2)</f>
        <v>8.0755849000092308</v>
      </c>
      <c r="M221" s="106">
        <f>M63/SQRT(2)</f>
        <v>6.608553810774465</v>
      </c>
      <c r="N221" s="106">
        <f>N63/SQRT(2)</f>
        <v>9.4697387962189197</v>
      </c>
      <c r="O221" s="105" t="e">
        <f>O63/SQRT(2)</f>
        <v>#DIV/0!</v>
      </c>
      <c r="Y221" s="20"/>
      <c r="Z221" s="29" t="s">
        <v>53</v>
      </c>
      <c r="AA221" s="105">
        <f t="shared" ref="AA221:AE223" si="46">100*EXP(AA236/100)-100</f>
        <v>2.1557612221180307</v>
      </c>
      <c r="AB221" s="105">
        <f t="shared" si="46"/>
        <v>2.0455162080885998</v>
      </c>
      <c r="AC221" s="105">
        <f t="shared" si="46"/>
        <v>1.6132842109585397</v>
      </c>
      <c r="AD221" s="105">
        <f t="shared" si="46"/>
        <v>2.3427852295984053</v>
      </c>
      <c r="AE221" s="105" t="e">
        <f t="shared" si="46"/>
        <v>#DIV/0!</v>
      </c>
    </row>
    <row r="222" spans="2:31" ht="12.75" customHeight="1" x14ac:dyDescent="0.25">
      <c r="I222" s="415" t="s">
        <v>135</v>
      </c>
      <c r="J222" s="21" t="s">
        <v>9</v>
      </c>
      <c r="K222" s="54">
        <f>SQRT(K219*K221^2/CHIINV((100-K218)/100/2,K219))</f>
        <v>6.8833867802141349</v>
      </c>
      <c r="L222" s="54">
        <f>SQRT(L219*L221^2/CHIINV((100-L218)/100/2,L219))</f>
        <v>6.4114129947206866</v>
      </c>
      <c r="M222" s="54">
        <f>SQRT(M219*M221^2/CHIINV((100-M218)/100/2,M219))</f>
        <v>5.2466995645927614</v>
      </c>
      <c r="N222" s="54">
        <f>SQRT(N219*N221^2/CHIINV((100-N218)/100/2,N219))</f>
        <v>7.5182673609956359</v>
      </c>
      <c r="O222" s="57" t="e">
        <f>SQRT(O219*O221^2/CHIINV((100-O218)/100/2,O219))</f>
        <v>#DIV/0!</v>
      </c>
      <c r="Y222" s="390" t="s">
        <v>135</v>
      </c>
      <c r="Z222" s="40" t="s">
        <v>9</v>
      </c>
      <c r="AA222" s="57">
        <f t="shared" si="46"/>
        <v>1.7077447476127219</v>
      </c>
      <c r="AB222" s="57">
        <f t="shared" si="46"/>
        <v>1.6205925799970089</v>
      </c>
      <c r="AC222" s="57">
        <f t="shared" si="46"/>
        <v>1.2787121057101842</v>
      </c>
      <c r="AD222" s="57">
        <f t="shared" si="46"/>
        <v>1.8555488242785145</v>
      </c>
      <c r="AE222" s="57" t="e">
        <f t="shared" si="46"/>
        <v>#DIV/0!</v>
      </c>
    </row>
    <row r="223" spans="2:31" x14ac:dyDescent="0.25">
      <c r="I223" s="416"/>
      <c r="J223" s="11" t="s">
        <v>10</v>
      </c>
      <c r="K223" s="55">
        <f>SQRT(K219*K221^2/CHIINV(1-(100-K218)/100/2,K219))</f>
        <v>11.881548707364546</v>
      </c>
      <c r="L223" s="55">
        <f>SQRT(L219*L221^2/CHIINV(1-(100-L218)/100/2,L219))</f>
        <v>11.06686551433828</v>
      </c>
      <c r="M223" s="55">
        <f>SQRT(M219*M221^2/CHIINV(1-(100-M218)/100/2,M219))</f>
        <v>9.0564308559278661</v>
      </c>
      <c r="N223" s="55">
        <f>SQRT(N219*N221^2/CHIINV(1-(100-N218)/100/2,N219))</f>
        <v>12.977428509673233</v>
      </c>
      <c r="O223" s="61" t="e">
        <f>SQRT(O219*O221^2/CHIINV(1-(100-O218)/100/2,O219))</f>
        <v>#DIV/0!</v>
      </c>
      <c r="Y223" s="418"/>
      <c r="Z223" s="40" t="s">
        <v>10</v>
      </c>
      <c r="AA223" s="61">
        <f t="shared" si="46"/>
        <v>2.9660198890267679</v>
      </c>
      <c r="AB223" s="61">
        <f t="shared" si="46"/>
        <v>2.813771105149641</v>
      </c>
      <c r="AC223" s="61">
        <f t="shared" si="46"/>
        <v>2.217445040180948</v>
      </c>
      <c r="AD223" s="61">
        <f t="shared" si="46"/>
        <v>3.2244399586653003</v>
      </c>
      <c r="AE223" s="61" t="e">
        <f t="shared" si="46"/>
        <v>#DIV/0!</v>
      </c>
    </row>
    <row r="224" spans="2:31" ht="13.8" x14ac:dyDescent="0.25">
      <c r="I224" s="417"/>
      <c r="J224" s="12" t="s">
        <v>24</v>
      </c>
      <c r="K224" s="53">
        <f>SQRT(K223/K222)</f>
        <v>1.3138187018590246</v>
      </c>
      <c r="L224" s="53">
        <f>SQRT(L223/L222)</f>
        <v>1.3138187018590246</v>
      </c>
      <c r="M224" s="53">
        <f>SQRT(M223/M222)</f>
        <v>1.3138187018590246</v>
      </c>
      <c r="N224" s="53">
        <f>SQRT(N223/N222)</f>
        <v>1.3138187018590246</v>
      </c>
      <c r="O224" s="53" t="e">
        <f>SQRT(O223/O222)</f>
        <v>#DIV/0!</v>
      </c>
      <c r="Y224" s="104"/>
      <c r="Z224" s="12" t="s">
        <v>54</v>
      </c>
      <c r="AA224" s="53">
        <f>SQRT(AA223/AA222)</f>
        <v>1.3178790383242958</v>
      </c>
      <c r="AB224" s="53">
        <f>SQRT(AB223/AB222)</f>
        <v>1.3176724315739483</v>
      </c>
      <c r="AC224" s="53">
        <f>SQRT(AC223/AC222)</f>
        <v>1.3168613277246828</v>
      </c>
      <c r="AD224" s="53">
        <f>SQRT(AD223/AD222)</f>
        <v>1.3182292809886218</v>
      </c>
      <c r="AE224" s="53" t="e">
        <f>SQRT(AE223/AE222)</f>
        <v>#DIV/0!</v>
      </c>
    </row>
    <row r="225" spans="7:31" ht="12.75" customHeight="1" x14ac:dyDescent="0.25">
      <c r="I225" s="107" t="s">
        <v>57</v>
      </c>
      <c r="J225" s="108"/>
      <c r="K225" s="108"/>
      <c r="L225" s="108"/>
      <c r="M225" s="108"/>
      <c r="N225" s="108"/>
      <c r="O225" s="109"/>
      <c r="Y225" s="107" t="s">
        <v>55</v>
      </c>
      <c r="Z225" s="108"/>
      <c r="AA225" s="108"/>
      <c r="AB225" s="108"/>
      <c r="AC225" s="108"/>
      <c r="AD225" s="109"/>
      <c r="AE225" s="109"/>
    </row>
    <row r="226" spans="7:31" ht="12.75" customHeight="1" x14ac:dyDescent="0.25">
      <c r="I226" s="20"/>
      <c r="J226" s="29" t="s">
        <v>137</v>
      </c>
      <c r="K226" s="106">
        <f>K221/K195</f>
        <v>0.38519554084155888</v>
      </c>
      <c r="L226" s="106">
        <f>L221/L195</f>
        <v>0.35878380438520191</v>
      </c>
      <c r="M226" s="106">
        <f>M221/M195</f>
        <v>0.29360623497516275</v>
      </c>
      <c r="N226" s="106">
        <f>N221/N195</f>
        <v>0.4207235703555891</v>
      </c>
      <c r="O226" s="106" t="e">
        <f>O221/O195</f>
        <v>#DIV/0!</v>
      </c>
      <c r="Y226" s="20"/>
      <c r="Z226" s="29" t="s">
        <v>56</v>
      </c>
      <c r="AA226" s="99">
        <f t="shared" ref="AA226:AE228" si="47">EXP(AA236/100)</f>
        <v>1.0215576122211802</v>
      </c>
      <c r="AB226" s="99">
        <f t="shared" si="47"/>
        <v>1.0204551620808859</v>
      </c>
      <c r="AC226" s="99">
        <f t="shared" si="47"/>
        <v>1.0161328421095854</v>
      </c>
      <c r="AD226" s="99">
        <f t="shared" si="47"/>
        <v>1.0234278522959841</v>
      </c>
      <c r="AE226" s="99" t="e">
        <f t="shared" si="47"/>
        <v>#DIV/0!</v>
      </c>
    </row>
    <row r="227" spans="7:31" ht="12.75" customHeight="1" x14ac:dyDescent="0.25">
      <c r="G227" s="93"/>
      <c r="H227" s="22"/>
      <c r="I227" s="415" t="s">
        <v>135</v>
      </c>
      <c r="J227" s="21" t="s">
        <v>9</v>
      </c>
      <c r="K227" s="54">
        <f>SQRT(K219*K226^2/CHIINV((100-K218)/100/2,K219))</f>
        <v>0.30581657262462936</v>
      </c>
      <c r="L227" s="54">
        <f>SQRT(L219*L226^2/CHIINV((100-L218)/100/2,L219))</f>
        <v>0.28484762084886001</v>
      </c>
      <c r="M227" s="54">
        <f>SQRT(M219*M226^2/CHIINV((100-M218)/100/2,M219))</f>
        <v>0.23310148472943698</v>
      </c>
      <c r="N227" s="54">
        <f>SQRT(N219*N226^2/CHIINV((100-N218)/100/2,N219))</f>
        <v>0.3340231821672785</v>
      </c>
      <c r="O227" s="54" t="e">
        <f>SQRT(O219*O226^2/CHIINV((100-O218)/100/2,O219))</f>
        <v>#DIV/0!</v>
      </c>
      <c r="Y227" s="415" t="s">
        <v>135</v>
      </c>
      <c r="Z227" s="40" t="s">
        <v>9</v>
      </c>
      <c r="AA227" s="59">
        <f t="shared" si="47"/>
        <v>1.0170774474761273</v>
      </c>
      <c r="AB227" s="59">
        <f t="shared" si="47"/>
        <v>1.01620592579997</v>
      </c>
      <c r="AC227" s="59">
        <f t="shared" si="47"/>
        <v>1.0127871210571018</v>
      </c>
      <c r="AD227" s="59">
        <f t="shared" si="47"/>
        <v>1.0185554882427852</v>
      </c>
      <c r="AE227" s="59" t="e">
        <f t="shared" si="47"/>
        <v>#DIV/0!</v>
      </c>
    </row>
    <row r="228" spans="7:31" ht="12.75" customHeight="1" x14ac:dyDescent="0.25">
      <c r="G228" s="92"/>
      <c r="H228" s="22"/>
      <c r="I228" s="416"/>
      <c r="J228" s="11" t="s">
        <v>10</v>
      </c>
      <c r="K228" s="55">
        <f>SQRT(K219*K226^2/CHIINV(1-(100-K218)/100/2,K219))</f>
        <v>0.52787597431010336</v>
      </c>
      <c r="L228" s="55">
        <f>SQRT(L219*L226^2/CHIINV(1-(100-L218)/100/2,L219))</f>
        <v>0.49168105604946882</v>
      </c>
      <c r="M228" s="55">
        <f>SQRT(M219*M226^2/CHIINV(1-(100-M218)/100/2,M219))</f>
        <v>0.40236103723429573</v>
      </c>
      <c r="N228" s="55">
        <f>SQRT(N219*N226^2/CHIINV(1-(100-N218)/100/2,N219))</f>
        <v>0.57656395536529159</v>
      </c>
      <c r="O228" s="55" t="e">
        <f>SQRT(O219*O226^2/CHIINV(1-(100-O218)/100/2,O219))</f>
        <v>#DIV/0!</v>
      </c>
      <c r="Y228" s="416"/>
      <c r="Z228" s="40" t="s">
        <v>10</v>
      </c>
      <c r="AA228" s="60">
        <f t="shared" si="47"/>
        <v>1.0296601988902676</v>
      </c>
      <c r="AB228" s="60">
        <f t="shared" si="47"/>
        <v>1.0281377110514964</v>
      </c>
      <c r="AC228" s="60">
        <f t="shared" si="47"/>
        <v>1.0221744504018095</v>
      </c>
      <c r="AD228" s="60">
        <f t="shared" si="47"/>
        <v>1.032244399586653</v>
      </c>
      <c r="AE228" s="60" t="e">
        <f t="shared" si="47"/>
        <v>#DIV/0!</v>
      </c>
    </row>
    <row r="229" spans="7:31" ht="12.75" customHeight="1" x14ac:dyDescent="0.25">
      <c r="G229" s="93"/>
      <c r="H229" s="22"/>
      <c r="I229" s="417"/>
      <c r="J229" s="12" t="s">
        <v>24</v>
      </c>
      <c r="K229" s="53">
        <f>SQRT(K228/K227)</f>
        <v>1.3138187018590248</v>
      </c>
      <c r="L229" s="53">
        <f>SQRT(L228/L227)</f>
        <v>1.3138187018590246</v>
      </c>
      <c r="M229" s="53">
        <f>SQRT(M228/M227)</f>
        <v>1.3138187018590246</v>
      </c>
      <c r="N229" s="53">
        <f>SQRT(N228/N227)</f>
        <v>1.3138187018590246</v>
      </c>
      <c r="O229" s="53" t="e">
        <f>SQRT(O228/O227)</f>
        <v>#DIV/0!</v>
      </c>
      <c r="Y229" s="417"/>
      <c r="Z229" s="12" t="s">
        <v>24</v>
      </c>
      <c r="AA229" s="99">
        <f>SQRT(AA228/AA227)</f>
        <v>1.0061667248254147</v>
      </c>
      <c r="AB229" s="99">
        <f>SQRT(AB228/AB227)</f>
        <v>1.0058536192309213</v>
      </c>
      <c r="AC229" s="99">
        <f>SQRT(AC228/AC227)</f>
        <v>1.0046237146190982</v>
      </c>
      <c r="AD229" s="99">
        <f>SQRT(AD228/AD227)</f>
        <v>1.0066973399312105</v>
      </c>
      <c r="AE229" s="99" t="e">
        <f>SQRT(AE228/AE227)</f>
        <v>#DIV/0!</v>
      </c>
    </row>
    <row r="230" spans="7:31" ht="12.75" customHeight="1" x14ac:dyDescent="0.25">
      <c r="G230" s="92"/>
      <c r="H230" s="22"/>
      <c r="Y230" s="107" t="s">
        <v>57</v>
      </c>
      <c r="Z230" s="108"/>
      <c r="AA230" s="108"/>
      <c r="AB230" s="108"/>
      <c r="AC230" s="108"/>
      <c r="AD230" s="109"/>
      <c r="AE230" s="109"/>
    </row>
    <row r="231" spans="7:31" ht="12.75" customHeight="1" x14ac:dyDescent="0.25">
      <c r="Y231" s="20"/>
      <c r="Z231" s="29" t="s">
        <v>137</v>
      </c>
      <c r="AA231" s="106">
        <f>AA236/AA195</f>
        <v>0.37324120196462768</v>
      </c>
      <c r="AB231" s="106">
        <f>AB236/AB195</f>
        <v>0.35434566978439291</v>
      </c>
      <c r="AC231" s="106">
        <f>AC236/AC195</f>
        <v>0.28006548634068107</v>
      </c>
      <c r="AD231" s="106">
        <f>AD236/AD195</f>
        <v>0.40524973993582475</v>
      </c>
      <c r="AE231" s="106" t="e">
        <f>AE236/AE195</f>
        <v>#DIV/0!</v>
      </c>
    </row>
    <row r="232" spans="7:31" ht="12.75" customHeight="1" x14ac:dyDescent="0.25"/>
    <row r="233" spans="7:31" ht="12.75" customHeight="1" x14ac:dyDescent="0.25"/>
    <row r="234" spans="7:31" ht="12.75" customHeight="1" x14ac:dyDescent="0.25"/>
    <row r="235" spans="7:31" ht="12.75" customHeight="1" x14ac:dyDescent="0.25">
      <c r="Y235" s="160" t="s">
        <v>51</v>
      </c>
      <c r="Z235" s="161"/>
      <c r="AA235" s="161"/>
      <c r="AB235" s="161"/>
      <c r="AC235" s="161"/>
      <c r="AD235" s="162"/>
      <c r="AE235" s="162"/>
    </row>
    <row r="236" spans="7:31" ht="12.75" customHeight="1" x14ac:dyDescent="0.25">
      <c r="Y236" s="163"/>
      <c r="Z236" s="137" t="s">
        <v>25</v>
      </c>
      <c r="AA236" s="164">
        <f>AA63/SQRT(2)</f>
        <v>2.1328533314293838</v>
      </c>
      <c r="AB236" s="342">
        <f>AB63/SQRT(2)</f>
        <v>2.0248765096111851</v>
      </c>
      <c r="AC236" s="164">
        <f>AC63/SQRT(2)</f>
        <v>1.6004090717099404</v>
      </c>
      <c r="AD236" s="164">
        <f>AD63/SQRT(2)</f>
        <v>2.315763247287284</v>
      </c>
      <c r="AE236" s="164" t="e">
        <f>AE63/SQRT(2)</f>
        <v>#DIV/0!</v>
      </c>
    </row>
    <row r="237" spans="7:31" ht="12.75" customHeight="1" x14ac:dyDescent="0.25">
      <c r="Y237" s="452" t="s">
        <v>135</v>
      </c>
      <c r="Z237" s="139" t="s">
        <v>9</v>
      </c>
      <c r="AA237" s="140">
        <f>SQRT(AA219*AA236^2/CHIINV((100-AA218)/100/2,AA219))</f>
        <v>1.6933267044154323</v>
      </c>
      <c r="AB237" s="343">
        <f>SQRT(AB219*AB236^2/CHIINV((100-AB218)/100/2,AB219))</f>
        <v>1.6076011492877722</v>
      </c>
      <c r="AC237" s="140">
        <f>SQRT(AC219*AC236^2/CHIINV((100-AC218)/100/2,AC219))</f>
        <v>1.2706056151076133</v>
      </c>
      <c r="AD237" s="140">
        <f>SQRT(AD219*AD236^2/CHIINV((100-AD218)/100/2,AD219))</f>
        <v>1.8385435556918355</v>
      </c>
      <c r="AE237" s="140" t="e">
        <f>SQRT(AE219*AE236^2/CHIINV((100-AE218)/100/2,AE219))</f>
        <v>#DIV/0!</v>
      </c>
    </row>
    <row r="238" spans="7:31" ht="12.75" customHeight="1" x14ac:dyDescent="0.25">
      <c r="Y238" s="453"/>
      <c r="Z238" s="141" t="s">
        <v>10</v>
      </c>
      <c r="AA238" s="142">
        <f>SQRT(AA219*AA236^2/CHIINV(1-(100-AA218)/100/2,AA219))</f>
        <v>2.9228843821220161</v>
      </c>
      <c r="AB238" s="344">
        <f>SQRT(AB219*AB236^2/CHIINV(1-(100-AB218)/100/2,AB219))</f>
        <v>2.7749118227936749</v>
      </c>
      <c r="AC238" s="142">
        <f>SQRT(AC219*AC236^2/CHIINV(1-(100-AC218)/100/2,AC219))</f>
        <v>2.1932172324162718</v>
      </c>
      <c r="AD238" s="142">
        <f>SQRT(AD219*AD236^2/CHIINV(1-(100-AD218)/100/2,AD219))</f>
        <v>3.1735460326528644</v>
      </c>
      <c r="AE238" s="142" t="e">
        <f>SQRT(AE219*AE236^2/CHIINV(1-(100-AE218)/100/2,AE219))</f>
        <v>#DIV/0!</v>
      </c>
    </row>
    <row r="239" spans="7:31" ht="12" customHeight="1" x14ac:dyDescent="0.25">
      <c r="Y239" s="454"/>
      <c r="Z239" s="143" t="s">
        <v>94</v>
      </c>
      <c r="AA239" s="146">
        <f>SQRT(AA238/AA237)</f>
        <v>1.3138187018590246</v>
      </c>
      <c r="AB239" s="345">
        <f>SQRT(AB238/AB237)</f>
        <v>1.3138187018590246</v>
      </c>
      <c r="AC239" s="146">
        <f>SQRT(AC238/AC237)</f>
        <v>1.3138187018590246</v>
      </c>
      <c r="AD239" s="146">
        <f>SQRT(AD238/AD237)</f>
        <v>1.3138187018590244</v>
      </c>
      <c r="AE239" s="146" t="e">
        <f>SQRT(AE238/AE237)</f>
        <v>#DIV/0!</v>
      </c>
    </row>
    <row r="240" spans="7:31" ht="12.75" customHeight="1" x14ac:dyDescent="0.25"/>
    <row r="241" spans="18:32" x14ac:dyDescent="0.25">
      <c r="R241" s="113" t="s">
        <v>5</v>
      </c>
      <c r="U241" s="111" t="str">
        <f>CONCATENATE($B$73,"-",$B$42," difference")</f>
        <v>Exptal-Control difference</v>
      </c>
      <c r="V241" s="111"/>
      <c r="Y241" s="113" t="s">
        <v>5</v>
      </c>
      <c r="AA241" s="111" t="str">
        <f>CONCATENATE($B$73,"-",$B$42," difference")</f>
        <v>Exptal-Control difference</v>
      </c>
    </row>
    <row r="242" spans="18:32" ht="25.5" customHeight="1" x14ac:dyDescent="0.25">
      <c r="R242" s="408" t="s">
        <v>60</v>
      </c>
      <c r="S242" s="409"/>
      <c r="T242" s="186"/>
      <c r="U242" s="130" t="str">
        <f>U41</f>
        <v>Pre1</v>
      </c>
      <c r="V242" s="130" t="str">
        <f>V41</f>
        <v>Pre2</v>
      </c>
      <c r="W242" s="113"/>
      <c r="X242" s="113"/>
      <c r="Y242" s="131" t="s">
        <v>19</v>
      </c>
      <c r="Z242" s="132"/>
      <c r="AA242" s="130" t="str">
        <f>AA41</f>
        <v>Pre2-Pre1</v>
      </c>
      <c r="AB242" s="130" t="str">
        <f>AB41</f>
        <v>Post1-Pre2</v>
      </c>
      <c r="AC242" s="130" t="str">
        <f>AC41</f>
        <v>Post2-Pre2</v>
      </c>
      <c r="AD242" s="130" t="str">
        <f>AD41</f>
        <v>Post2-Post1</v>
      </c>
      <c r="AE242" s="130" t="str">
        <f>AE41</f>
        <v>other effect</v>
      </c>
    </row>
    <row r="243" spans="18:32" s="323" customFormat="1" x14ac:dyDescent="0.25">
      <c r="R243" s="320"/>
      <c r="S243" s="321" t="s">
        <v>130</v>
      </c>
      <c r="T243" s="321"/>
      <c r="U243" s="322">
        <f>$E$35</f>
        <v>90</v>
      </c>
      <c r="V243" s="322">
        <f>$E$35</f>
        <v>90</v>
      </c>
      <c r="Y243" s="324"/>
      <c r="Z243" s="321" t="s">
        <v>130</v>
      </c>
      <c r="AA243" s="322">
        <f>$E$35</f>
        <v>90</v>
      </c>
      <c r="AB243" s="322">
        <f>$E$35</f>
        <v>90</v>
      </c>
      <c r="AC243" s="322">
        <f>$E$35</f>
        <v>90</v>
      </c>
      <c r="AD243" s="322">
        <f>$E$35</f>
        <v>90</v>
      </c>
      <c r="AE243" s="322">
        <f>$E$35</f>
        <v>90</v>
      </c>
    </row>
    <row r="244" spans="18:32" x14ac:dyDescent="0.25">
      <c r="R244" s="133"/>
      <c r="S244" s="134" t="s">
        <v>129</v>
      </c>
      <c r="T244" s="134"/>
      <c r="U244" s="135">
        <f>U122</f>
        <v>37.999774306951309</v>
      </c>
      <c r="V244" s="135">
        <f>V122</f>
        <v>37.606313604722494</v>
      </c>
      <c r="W244" s="113"/>
      <c r="X244" s="113"/>
      <c r="Y244" s="133"/>
      <c r="Z244" s="134" t="s">
        <v>129</v>
      </c>
      <c r="AA244" s="136">
        <f>AA122</f>
        <v>37.079343058522092</v>
      </c>
      <c r="AB244" s="135">
        <f>AB122</f>
        <v>35.813431770810944</v>
      </c>
      <c r="AC244" s="135">
        <f>AC122</f>
        <v>27.923429077369057</v>
      </c>
      <c r="AD244" s="135">
        <f>AD122</f>
        <v>35.673927338573336</v>
      </c>
      <c r="AE244" s="135" t="e">
        <f>AE122</f>
        <v>#DIV/0!</v>
      </c>
    </row>
    <row r="245" spans="18:32" x14ac:dyDescent="0.25">
      <c r="R245" s="133"/>
      <c r="S245" s="137" t="s">
        <v>128</v>
      </c>
      <c r="T245" s="137"/>
      <c r="U245" s="138">
        <f>U117</f>
        <v>-3.59963532878362</v>
      </c>
      <c r="V245" s="138">
        <f>V117</f>
        <v>-2.0420014601447747</v>
      </c>
      <c r="W245" s="113"/>
      <c r="X245" s="113"/>
      <c r="Y245" s="133"/>
      <c r="Z245" s="137" t="s">
        <v>128</v>
      </c>
      <c r="AA245" s="138">
        <f>AA117</f>
        <v>1.5576338686389022</v>
      </c>
      <c r="AB245" s="365">
        <f>AB117</f>
        <v>1.6787950141945882</v>
      </c>
      <c r="AC245" s="138">
        <f>AC117</f>
        <v>1.0466102760652405</v>
      </c>
      <c r="AD245" s="138">
        <f>AD117</f>
        <v>-0.63218473812934795</v>
      </c>
      <c r="AE245" s="138" t="e">
        <f>AE117</f>
        <v>#DIV/0!</v>
      </c>
    </row>
    <row r="246" spans="18:32" ht="12.75" customHeight="1" x14ac:dyDescent="0.25">
      <c r="R246" s="424" t="s">
        <v>135</v>
      </c>
      <c r="S246" s="139" t="s">
        <v>9</v>
      </c>
      <c r="T246" s="139"/>
      <c r="U246" s="140">
        <f>U245-TINV((100-U243)/100,U244)*U123</f>
        <v>-6.5011788190981381</v>
      </c>
      <c r="V246" s="140">
        <f>V245-TINV((100-V243)/100,V244)*V123</f>
        <v>-4.9822055699559655</v>
      </c>
      <c r="W246" s="113"/>
      <c r="X246" s="113"/>
      <c r="Y246" s="424" t="s">
        <v>135</v>
      </c>
      <c r="Z246" s="139" t="s">
        <v>9</v>
      </c>
      <c r="AA246" s="140">
        <f>AA245-TINV((100-AA243)/100,AA244)*AA$123</f>
        <v>-0.19563748168285877</v>
      </c>
      <c r="AB246" s="366">
        <f>AB245-TINV((100-AB243)/100,AB244)*AB123</f>
        <v>-8.4477277466070921E-2</v>
      </c>
      <c r="AC246" s="140">
        <f>AC245-TINV((100-AC243)/100,AC244)*AC123</f>
        <v>-0.88267016563509415</v>
      </c>
      <c r="AD246" s="140">
        <f>AD245-TINV((100-AD243)/100,AD244)*AD123</f>
        <v>-2.6599138359221164</v>
      </c>
      <c r="AE246" s="140" t="e">
        <f>AE245-TINV((100-AE243)/100,AE244)*AE123</f>
        <v>#DIV/0!</v>
      </c>
    </row>
    <row r="247" spans="18:32" x14ac:dyDescent="0.25">
      <c r="R247" s="425"/>
      <c r="S247" s="141" t="s">
        <v>10</v>
      </c>
      <c r="T247" s="141"/>
      <c r="U247" s="142">
        <f>U245+TINV((100-U243)/100,U244)*U123</f>
        <v>-0.69809183846910194</v>
      </c>
      <c r="V247" s="142">
        <f>V245+TINV((100-V243)/100,V244)*V123</f>
        <v>0.89820264966641661</v>
      </c>
      <c r="W247" s="113"/>
      <c r="X247" s="113"/>
      <c r="Y247" s="425"/>
      <c r="Z247" s="141" t="s">
        <v>10</v>
      </c>
      <c r="AA247" s="142">
        <f>AA245+TINV((100-AA243)/100,AA244)*AA$123</f>
        <v>3.3109052189606629</v>
      </c>
      <c r="AB247" s="367">
        <f>AB245+TINV((100-AB243)/100,AB244)*AB123</f>
        <v>3.4420673058552476</v>
      </c>
      <c r="AC247" s="142">
        <f>AC245+TINV((100-AC243)/100,AC244)*AC123</f>
        <v>2.9758907177655751</v>
      </c>
      <c r="AD247" s="142">
        <f>AD245+TINV((100-AD243)/100,AD244)*AD123</f>
        <v>1.3955443596634205</v>
      </c>
      <c r="AE247" s="142" t="e">
        <f>AE245+TINV((100-AE243)/100,AE244)*AE123</f>
        <v>#DIV/0!</v>
      </c>
    </row>
    <row r="248" spans="18:32" x14ac:dyDescent="0.25">
      <c r="R248" s="426"/>
      <c r="S248" s="143" t="s">
        <v>11</v>
      </c>
      <c r="T248" s="143"/>
      <c r="U248" s="144">
        <f>(U247-U246)/2</f>
        <v>2.9015434903145181</v>
      </c>
      <c r="V248" s="144">
        <f>(V247-V246)/2</f>
        <v>2.9402041098111908</v>
      </c>
      <c r="W248" s="113"/>
      <c r="X248" s="113"/>
      <c r="Y248" s="426"/>
      <c r="Z248" s="143" t="s">
        <v>11</v>
      </c>
      <c r="AA248" s="144">
        <f>(AA247-AA246)/2</f>
        <v>1.7532713503217607</v>
      </c>
      <c r="AB248" s="144">
        <f>(AB247-AB246)/2</f>
        <v>1.7632722916606594</v>
      </c>
      <c r="AC248" s="144">
        <f>(AC247-AC246)/2</f>
        <v>1.9292804417003346</v>
      </c>
      <c r="AD248" s="144">
        <f>(AD247-AD246)/2</f>
        <v>2.0277290977927684</v>
      </c>
      <c r="AE248" s="144" t="e">
        <f>(AE247-AE246)/2</f>
        <v>#DIV/0!</v>
      </c>
    </row>
    <row r="249" spans="18:32" ht="12.75" customHeight="1" x14ac:dyDescent="0.25">
      <c r="R249" s="413" t="s">
        <v>127</v>
      </c>
      <c r="S249" s="145" t="s">
        <v>13</v>
      </c>
      <c r="T249" s="145"/>
      <c r="U249" s="146" t="e">
        <f>U183*U195</f>
        <v>#VALUE!</v>
      </c>
      <c r="V249" s="146" t="e">
        <f>V183*V195</f>
        <v>#VALUE!</v>
      </c>
      <c r="W249" s="113"/>
      <c r="X249" s="113"/>
      <c r="Y249" s="413" t="s">
        <v>127</v>
      </c>
      <c r="Z249" s="145" t="s">
        <v>13</v>
      </c>
      <c r="AA249" s="146" t="e">
        <f>AA183*AA195</f>
        <v>#VALUE!</v>
      </c>
      <c r="AB249" s="146" t="e">
        <f>AB183*AB195</f>
        <v>#VALUE!</v>
      </c>
      <c r="AC249" s="146" t="e">
        <f>AC183*AC195</f>
        <v>#VALUE!</v>
      </c>
      <c r="AD249" s="146" t="e">
        <f>AD183*AD195</f>
        <v>#VALUE!</v>
      </c>
      <c r="AE249" s="146" t="e">
        <f>AE183*AE195</f>
        <v>#VALUE!</v>
      </c>
    </row>
    <row r="250" spans="18:32" x14ac:dyDescent="0.25">
      <c r="R250" s="414"/>
      <c r="S250" s="148" t="s">
        <v>14</v>
      </c>
      <c r="T250" s="148"/>
      <c r="U250" s="146" t="e">
        <f>U184*U195</f>
        <v>#VALUE!</v>
      </c>
      <c r="V250" s="146" t="e">
        <f>V184*V195</f>
        <v>#VALUE!</v>
      </c>
      <c r="W250" s="113"/>
      <c r="X250" s="113"/>
      <c r="Y250" s="414"/>
      <c r="Z250" s="148" t="s">
        <v>14</v>
      </c>
      <c r="AA250" s="146" t="e">
        <f>AA184*AA195</f>
        <v>#VALUE!</v>
      </c>
      <c r="AB250" s="146" t="e">
        <f>AB184*AB195</f>
        <v>#VALUE!</v>
      </c>
      <c r="AC250" s="146" t="e">
        <f>AC184*AC195</f>
        <v>#VALUE!</v>
      </c>
      <c r="AD250" s="146" t="e">
        <f>AD184*AD195</f>
        <v>#VALUE!</v>
      </c>
      <c r="AE250" s="146" t="e">
        <f>AE184*AE195</f>
        <v>#VALUE!</v>
      </c>
    </row>
    <row r="251" spans="18:32" ht="12.75" customHeight="1" x14ac:dyDescent="0.25">
      <c r="R251" s="421" t="s">
        <v>15</v>
      </c>
      <c r="S251" s="388" t="s">
        <v>13</v>
      </c>
      <c r="T251" s="149"/>
      <c r="U251" s="150" t="e">
        <f>IF(ISERROR(TDIST((U249-U245)/U123,U244,1)),1-TDIST((U245-U249)/U123,U244,1),TDIST((U249-U245)/U123,U244,1))*100</f>
        <v>#VALUE!</v>
      </c>
      <c r="V251" s="150" t="e">
        <f>IF(ISERROR(TDIST((V249-V245)/V123,V244,1)),1-TDIST((V245-V249)/V123,V244,1),TDIST((V249-V245)/V123,V244,1))*100</f>
        <v>#VALUE!</v>
      </c>
      <c r="W251" s="113"/>
      <c r="X251" s="113"/>
      <c r="Y251" s="421" t="s">
        <v>15</v>
      </c>
      <c r="Z251" s="388" t="s">
        <v>13</v>
      </c>
      <c r="AA251" s="150" t="e">
        <f>IF(ISERROR(TDIST((AA249-AA$117)/AA$123,AA244,1)),1-TDIST((AA$117-AA249)/AA$123,AA244,1),TDIST((AA249-AA$117)/AA$123,AA244,1))*100</f>
        <v>#VALUE!</v>
      </c>
      <c r="AB251" s="150" t="e">
        <f>IF(ISERROR(TDIST((AB249-AB$117)/AB$123,AB244,1)),1-TDIST((AB$117-AB249)/AB$123,AB244,1),TDIST((AB249-AB$117)/AB$123,AB244,1))*100</f>
        <v>#VALUE!</v>
      </c>
      <c r="AC251" s="150" t="e">
        <f>IF(ISERROR(TDIST((AC249-AC$117)/AC$123,AC244,1)),1-TDIST((AC$117-AC249)/AC$123,AC244,1),TDIST((AC249-AC$117)/AC$123,AC244,1))*100</f>
        <v>#VALUE!</v>
      </c>
      <c r="AD251" s="150" t="e">
        <f>IF(ISERROR(TDIST((AD249-AD$117)/AD$123,AD244,1)),1-TDIST((AD$117-AD249)/AD$123,AD244,1),TDIST((AD249-AD$117)/AD$123,AD244,1))*100</f>
        <v>#VALUE!</v>
      </c>
      <c r="AE251" s="150" t="e">
        <f>IF(ISERROR(TDIST((AE249-AE245)/AE123,AE244,1)),1-TDIST((AE245-AE249)/AE123,AE244,1),TDIST((AE249-AE245)/AE123,AE244,1))*100</f>
        <v>#DIV/0!</v>
      </c>
    </row>
    <row r="252" spans="18:32" x14ac:dyDescent="0.25">
      <c r="R252" s="422"/>
      <c r="S252" s="407"/>
      <c r="T252" s="151"/>
      <c r="U252" s="152" t="e">
        <f>IF(U251&lt;0.5,"almost certainly not",IF(U251&lt;5,"very unlikely",IF(U251&lt;25,"unlikely, probably not",IF(U251&lt;75,"possibly, may (not)",IF(U251&lt;95,"likely, probable",IF(U251&lt;99.5,"very likely","almost certainly"))))))</f>
        <v>#VALUE!</v>
      </c>
      <c r="V252" s="152" t="e">
        <f>IF(V251&lt;0.5,"almost certainly not",IF(V251&lt;5,"very unlikely",IF(V251&lt;25,"unlikely, probably not",IF(V251&lt;75,"possibly, may (not)",IF(V251&lt;95,"likely, probable",IF(V251&lt;99.5,"very likely","almost certainly"))))))</f>
        <v>#VALUE!</v>
      </c>
      <c r="W252" s="113"/>
      <c r="X252" s="113"/>
      <c r="Y252" s="422"/>
      <c r="Z252" s="407"/>
      <c r="AA252" s="152" t="e">
        <f>IF(AA251&lt;0.5,"almost certainly not",IF(AA251&lt;5,"very unlikely",IF(AA251&lt;25,"unlikely, probably not",IF(AA251&lt;75,"possibly, may (not)",IF(AA251&lt;95,"likely, probable",IF(AA251&lt;99.5,"very likely","almost certainly"))))))</f>
        <v>#VALUE!</v>
      </c>
      <c r="AB252" s="152" t="e">
        <f>IF(AB251&lt;0.5,"almost certainly not",IF(AB251&lt;5,"very unlikely",IF(AB251&lt;25,"unlikely, probably not",IF(AB251&lt;75,"possibly, may (not)",IF(AB251&lt;95,"likely, probable",IF(AB251&lt;99.5,"very likely","almost certainly"))))))</f>
        <v>#VALUE!</v>
      </c>
      <c r="AC252" s="152" t="e">
        <f>IF(AC251&lt;0.5,"almost certainly not",IF(AC251&lt;5,"very unlikely",IF(AC251&lt;25,"unlikely, probably not",IF(AC251&lt;75,"possibly, may (not)",IF(AC251&lt;95,"likely, probable",IF(AC251&lt;99.5,"very likely","almost certainly"))))))</f>
        <v>#VALUE!</v>
      </c>
      <c r="AD252" s="152" t="e">
        <f>IF(AD251&lt;0.5,"almost certainly not",IF(AD251&lt;5,"very unlikely",IF(AD251&lt;25,"unlikely, probably not",IF(AD251&lt;75,"possibly, may (not)",IF(AD251&lt;95,"likely, probable",IF(AD251&lt;99.5,"very likely","almost certainly"))))))</f>
        <v>#VALUE!</v>
      </c>
      <c r="AE252" s="152" t="e">
        <f>IF(AE251&lt;0.5,"almost certainly not",IF(AE251&lt;5,"very unlikely",IF(AE251&lt;25,"unlikely, probably not",IF(AE251&lt;75,"possibly, may (not)",IF(AE251&lt;95,"likely, probable",IF(AE251&lt;99.5,"very likely","almost certainly"))))))</f>
        <v>#DIV/0!</v>
      </c>
    </row>
    <row r="253" spans="18:32" x14ac:dyDescent="0.25">
      <c r="R253" s="422"/>
      <c r="S253" s="412" t="s">
        <v>12</v>
      </c>
      <c r="T253" s="153"/>
      <c r="U253" s="150" t="e">
        <f>100-U251-U255</f>
        <v>#VALUE!</v>
      </c>
      <c r="V253" s="150" t="e">
        <f>100-V251-V255</f>
        <v>#VALUE!</v>
      </c>
      <c r="W253" s="113"/>
      <c r="X253" s="113"/>
      <c r="Y253" s="422"/>
      <c r="Z253" s="412" t="s">
        <v>12</v>
      </c>
      <c r="AA253" s="150" t="e">
        <f>100-AA251-AA255</f>
        <v>#VALUE!</v>
      </c>
      <c r="AB253" s="150" t="e">
        <f>100-AB251-AB255</f>
        <v>#VALUE!</v>
      </c>
      <c r="AC253" s="150" t="e">
        <f>100-AC251-AC255</f>
        <v>#VALUE!</v>
      </c>
      <c r="AD253" s="150" t="e">
        <f>100-AD251-AD255</f>
        <v>#VALUE!</v>
      </c>
      <c r="AE253" s="150" t="e">
        <f>100-AE251-AE255</f>
        <v>#DIV/0!</v>
      </c>
    </row>
    <row r="254" spans="18:32" x14ac:dyDescent="0.25">
      <c r="R254" s="422"/>
      <c r="S254" s="389"/>
      <c r="T254" s="154"/>
      <c r="U254" s="152" t="e">
        <f>IF(U253&lt;0.5,"almost certainly not",IF(U253&lt;5,"very unlikely",IF(U253&lt;25,"unlikely, probably not",IF(U253&lt;75,"possibly, may (not)",IF(U253&lt;95,"likely, probable",IF(U253&lt;99.5,"very likely","almost certainly"))))))</f>
        <v>#VALUE!</v>
      </c>
      <c r="V254" s="152" t="e">
        <f>IF(V253&lt;0.5,"almost certainly not",IF(V253&lt;5,"very unlikely",IF(V253&lt;25,"unlikely, probably not",IF(V253&lt;75,"possibly, may (not)",IF(V253&lt;95,"likely, probable",IF(V253&lt;99.5,"very likely","almost certainly"))))))</f>
        <v>#VALUE!</v>
      </c>
      <c r="W254" s="113"/>
      <c r="X254" s="113"/>
      <c r="Y254" s="422"/>
      <c r="Z254" s="389"/>
      <c r="AA254" s="152" t="e">
        <f>IF(AA253&lt;0.5,"almost certainly not",IF(AA253&lt;5,"very unlikely",IF(AA253&lt;25,"unlikely, probably not",IF(AA253&lt;75,"possibly, may (not)",IF(AA253&lt;95,"likely, probable",IF(AA253&lt;99.5,"very likely","almost certainly"))))))</f>
        <v>#VALUE!</v>
      </c>
      <c r="AB254" s="152" t="e">
        <f>IF(AB253&lt;0.5,"almost certainly not",IF(AB253&lt;5,"very unlikely",IF(AB253&lt;25,"unlikely, probably not",IF(AB253&lt;75,"possibly, may (not)",IF(AB253&lt;95,"likely, probable",IF(AB253&lt;99.5,"very likely","almost certainly"))))))</f>
        <v>#VALUE!</v>
      </c>
      <c r="AC254" s="152" t="e">
        <f>IF(AC253&lt;0.5,"almost certainly not",IF(AC253&lt;5,"very unlikely",IF(AC253&lt;25,"unlikely, probably not",IF(AC253&lt;75,"possibly, may (not)",IF(AC253&lt;95,"likely, probable",IF(AC253&lt;99.5,"very likely","almost certainly"))))))</f>
        <v>#VALUE!</v>
      </c>
      <c r="AD254" s="152" t="e">
        <f>IF(AD253&lt;0.5,"almost certainly not",IF(AD253&lt;5,"very unlikely",IF(AD253&lt;25,"unlikely, probably not",IF(AD253&lt;75,"possibly, may (not)",IF(AD253&lt;95,"likely, probable",IF(AD253&lt;99.5,"very likely","almost certainly"))))))</f>
        <v>#VALUE!</v>
      </c>
      <c r="AE254" s="152" t="e">
        <f>IF(AE253&lt;0.5,"almost certainly not",IF(AE253&lt;5,"very unlikely",IF(AE253&lt;25,"unlikely, probably not",IF(AE253&lt;75,"possibly, may (not)",IF(AE253&lt;95,"likely, probable",IF(AE253&lt;99.5,"very likely","almost certainly"))))))</f>
        <v>#DIV/0!</v>
      </c>
    </row>
    <row r="255" spans="18:32" x14ac:dyDescent="0.25">
      <c r="R255" s="422"/>
      <c r="S255" s="388" t="s">
        <v>14</v>
      </c>
      <c r="T255" s="149"/>
      <c r="U255" s="150" t="e">
        <f>IF(ISERROR(TDIST((U250-U245)/U123,U244,1)),TDIST((U245-U250)/U123,U244,1),1-TDIST((U250-U245)/U123,U244,1))*100</f>
        <v>#VALUE!</v>
      </c>
      <c r="V255" s="150" t="e">
        <f>IF(ISERROR(TDIST((V250-V245)/V123,V244,1)),TDIST((V245-V250)/V123,V244,1),1-TDIST((V250-V245)/V123,V244,1))*100</f>
        <v>#VALUE!</v>
      </c>
      <c r="W255" s="113"/>
      <c r="X255" s="113"/>
      <c r="Y255" s="422"/>
      <c r="Z255" s="388" t="s">
        <v>14</v>
      </c>
      <c r="AA255" s="150" t="e">
        <f>IF(ISERROR(TDIST((AA250-AA$117)/AA$123,AA244,1)),TDIST((AA$117-AA250)/AA$123,AA244,1),1-TDIST((AA250-AA$117)/AA$123,AA244,1))*100</f>
        <v>#VALUE!</v>
      </c>
      <c r="AB255" s="150" t="e">
        <f>IF(ISERROR(TDIST((AB250-AB$117)/AB$123,AB244,1)),TDIST((AB$117-AB250)/AB$123,AB244,1),1-TDIST((AB250-AB$117)/AB$123,AB244,1))*100</f>
        <v>#VALUE!</v>
      </c>
      <c r="AC255" s="150" t="e">
        <f>IF(ISERROR(TDIST((AC250-AC$117)/AC$123,AC244,1)),TDIST((AC$117-AC250)/AC$123,AC244,1),1-TDIST((AC250-AC$117)/AC$123,AC244,1))*100</f>
        <v>#VALUE!</v>
      </c>
      <c r="AD255" s="150" t="e">
        <f>IF(ISERROR(TDIST((AD250-AD$117)/AD$123,AD244,1)),TDIST((AD$117-AD250)/AD$123,AD244,1),1-TDIST((AD250-AD$117)/AD$123,AD244,1))*100</f>
        <v>#VALUE!</v>
      </c>
      <c r="AE255" s="150" t="e">
        <f>IF(ISERROR(TDIST((AE250-AE245)/AE123,AE244,1)),TDIST((AE245-AE250)/AE123,AE244,1),1-TDIST((AE250-AE245)/AE123,AE244,1))*100</f>
        <v>#DIV/0!</v>
      </c>
    </row>
    <row r="256" spans="18:32" x14ac:dyDescent="0.25">
      <c r="R256" s="423"/>
      <c r="S256" s="389"/>
      <c r="T256" s="154"/>
      <c r="U256" s="152" t="e">
        <f>IF(U255&lt;0.5,"almost certainly not",IF(U255&lt;5,"very unlikely",IF(U255&lt;25,"unlikely, probably not",IF(U255&lt;75,"possibly, may (not)",IF(U255&lt;95,"likely, probable",IF(U255&lt;99.5,"very likely","almost certainly"))))))</f>
        <v>#VALUE!</v>
      </c>
      <c r="V256" s="152" t="e">
        <f>IF(V255&lt;0.5,"almost certainly not",IF(V255&lt;5,"very unlikely",IF(V255&lt;25,"unlikely, probably not",IF(V255&lt;75,"possibly, may (not)",IF(V255&lt;95,"likely, probable",IF(V255&lt;99.5,"very likely","almost certainly"))))))</f>
        <v>#VALUE!</v>
      </c>
      <c r="W256" s="113"/>
      <c r="X256" s="113"/>
      <c r="Y256" s="423"/>
      <c r="Z256" s="389"/>
      <c r="AA256" s="152" t="e">
        <f>IF(AA255&lt;0.5,"almost certainly not",IF(AA255&lt;5,"very unlikely",IF(AA255&lt;25,"unlikely, probably not",IF(AA255&lt;75,"possibly, may (not)",IF(AA255&lt;95,"likely, probable",IF(AA255&lt;99.5,"very likely","almost certainly"))))))</f>
        <v>#VALUE!</v>
      </c>
      <c r="AB256" s="152" t="e">
        <f>IF(AB255&lt;0.5,"almost certainly not",IF(AB255&lt;5,"very unlikely",IF(AB255&lt;25,"unlikely, probably not",IF(AB255&lt;75,"possibly, may (not)",IF(AB255&lt;95,"likely, probable",IF(AB255&lt;99.5,"very likely","almost certainly"))))))</f>
        <v>#VALUE!</v>
      </c>
      <c r="AC256" s="152" t="e">
        <f>IF(AC255&lt;0.5,"almost certainly not",IF(AC255&lt;5,"very unlikely",IF(AC255&lt;25,"unlikely, probably not",IF(AC255&lt;75,"possibly, may (not)",IF(AC255&lt;95,"likely, probable",IF(AC255&lt;99.5,"very likely","almost certainly"))))))</f>
        <v>#VALUE!</v>
      </c>
      <c r="AD256" s="152" t="e">
        <f>IF(AD255&lt;0.5,"almost certainly not",IF(AD255&lt;5,"very unlikely",IF(AD255&lt;25,"unlikely, probably not",IF(AD255&lt;75,"possibly, may (not)",IF(AD255&lt;95,"likely, probable",IF(AD255&lt;99.5,"very likely","almost certainly"))))))</f>
        <v>#VALUE!</v>
      </c>
      <c r="AE256" s="152" t="e">
        <f>IF(AE255&lt;0.5,"almost certainly not",IF(AE255&lt;5,"very unlikely",IF(AE255&lt;25,"unlikely, probably not",IF(AE255&lt;75,"possibly, may (not)",IF(AE255&lt;95,"likely, probable",IF(AE255&lt;99.5,"very likely","almost certainly"))))))</f>
        <v>#DIV/0!</v>
      </c>
      <c r="AF256" s="22"/>
    </row>
    <row r="257" spans="18:33" x14ac:dyDescent="0.25">
      <c r="R257" s="245"/>
      <c r="S257" s="246"/>
      <c r="T257" s="247"/>
      <c r="U257" s="248"/>
      <c r="V257" s="248"/>
      <c r="W257" s="113"/>
      <c r="X257" s="113"/>
      <c r="Y257" s="245"/>
      <c r="Z257" s="246"/>
      <c r="AA257" s="155"/>
      <c r="AB257" s="155"/>
      <c r="AC257" s="156"/>
      <c r="AD257" s="156"/>
      <c r="AE257" s="156"/>
    </row>
    <row r="258" spans="18:33" x14ac:dyDescent="0.25">
      <c r="R258" s="133"/>
      <c r="S258" s="157" t="s">
        <v>126</v>
      </c>
      <c r="T258" s="157"/>
      <c r="U258" s="147">
        <f>IF(ISERROR(SQRT(U94^2-U63^2)),-SQRT(U63^2-U94^2),SQRT(U94^2-U63^2))</f>
        <v>-0.37969877043553518</v>
      </c>
      <c r="V258" s="147">
        <f>IF(ISERROR(SQRT(V94^2-V63^2)),-SQRT(V63^2-V94^2),SQRT(V94^2-V63^2))</f>
        <v>2.4930196755387151</v>
      </c>
      <c r="W258" s="113"/>
      <c r="X258" s="113"/>
      <c r="Y258" s="133"/>
      <c r="Z258" s="157" t="s">
        <v>126</v>
      </c>
      <c r="AA258" s="147">
        <f>IF(ISERROR(SQRT(AA94^2-AA63^2)),-SQRT(AA63^2-AA94^2),SQRT(AA94^2-AA63^2))</f>
        <v>1.8448726870578576</v>
      </c>
      <c r="AB258" s="345">
        <f>IF(ISERROR(SQRT(AB94^2-AB63^2)),-SQRT(AB63^2-AB94^2),SQRT(AB94^2-AB63^2))</f>
        <v>2.3199938476470177</v>
      </c>
      <c r="AC258" s="158">
        <f>IF(ISERROR(SQRT(AC94^2-AC63^2)),-SQRT(AC63^2-AC94^2),SQRT(AC94^2-AC63^2))</f>
        <v>3.926071125412756</v>
      </c>
      <c r="AD258" s="158">
        <f>IF(ISERROR(SQRT(AD94^2-AD63^2)),-SQRT(AD63^2-AD94^2),SQRT(AD94^2-AD63^2))</f>
        <v>2.7121655684186412</v>
      </c>
      <c r="AE258" s="158" t="e">
        <f>IF(ISERROR(SQRT(AE94^2-AE63^2)),-SQRT(AE63^2-AE94^2),SQRT(AE94^2-AE63^2))</f>
        <v>#DIV/0!</v>
      </c>
      <c r="AF258" s="368"/>
    </row>
    <row r="259" spans="18:33" ht="12.75" customHeight="1" x14ac:dyDescent="0.25">
      <c r="R259" s="419" t="s">
        <v>131</v>
      </c>
      <c r="S259" s="139" t="s">
        <v>9</v>
      </c>
      <c r="T259" s="139"/>
      <c r="U259" s="140">
        <f>IF(ISERROR(SQRT(U94^2-U63^2+NORMINV(0.5-U243/200,0,1)*SQRT(2*U63^4/U65+2*U94^4/U96))),-SQRT(-(U94^2-U63^2+NORMINV(0.5-U243/200,0,1)*SQRT(2*U63^4/U65+2*U94^4/U96))),SQRT(U94^2-U63^2+NORMINV(0.5-U243/200,0,1)*SQRT(2*U63^4/U65+2*U94^4/U96)))</f>
        <v>-4.7400034826349184</v>
      </c>
      <c r="V259" s="140">
        <f>IF(ISERROR(SQRT(V94^2-V63^2+NORMINV(0.5-V243/200,0,1)*SQRT(2*V63^4/V65+2*V94^4/V96))),-SQRT(-(V94^2-V63^2+NORMINV(0.5-V243/200,0,1)*SQRT(2*V63^4/V65+2*V94^4/V96))),SQRT(V94^2-V63^2+NORMINV(0.5-V243/200,0,1)*SQRT(2*V63^4/V65+2*V94^4/V96)))</f>
        <v>-4.1020436642759321</v>
      </c>
      <c r="W259" s="113"/>
      <c r="X259" s="113"/>
      <c r="Y259" s="419" t="s">
        <v>131</v>
      </c>
      <c r="Z259" s="139" t="s">
        <v>9</v>
      </c>
      <c r="AA259" s="140">
        <f>IF(ISERROR(SQRT(AA94^2-AA63^2+NORMINV(0.5-AA243/200,0,1)*SQRT(2*AA63^4/AA65+2*AA94^4/AA96))),-SQRT(-(AA94^2-AA63^2+NORMINV(0.5-AA243/200,0,1)*SQRT(2*AA63^4/AA65+2*AA94^4/AA96))),SQRT(AA94^2-AA63^2+NORMINV(0.5-AA243/200,0,1)*SQRT(2*AA63^4/AA65+2*AA94^4/AA96)))</f>
        <v>-2.201775710092206</v>
      </c>
      <c r="AB259" s="343">
        <f>IF(ISERROR(SQRT(AB94^2-AB63^2+NORMINV(0.5-AB243/200,0,1)*SQRT(2*AB63^4/AB65+2*AB94^4/AB96))),-SQRT(-(AB94^2-AB63^2+NORMINV(0.5-AB243/200,0,1)*SQRT(2*AB63^4/AB65+2*AB94^4/AB96))),SQRT(AB94^2-AB63^2+NORMINV(0.5-AB243/200,0,1)*SQRT(2*AB63^4/AB65+2*AB94^4/AB96)))</f>
        <v>-1.7563379502128844</v>
      </c>
      <c r="AC259" s="140">
        <f>IF(ISERROR(SQRT(AC94^2-AC63^2+NORMINV(0.5-AC243/200,0,1)*SQRT(2*AC63^4/AC65+2*AC94^4/AC96))),-SQRT(-(AC94^2-AC63^2+NORMINV(0.5-AC243/200,0,1)*SQRT(2*AC63^4/AC65+2*AC94^4/AC96))),SQRT(AC94^2-AC63^2+NORMINV(0.5-AC243/200,0,1)*SQRT(2*AC63^4/AC65+2*AC94^4/AC96)))</f>
        <v>2.0294381795018013</v>
      </c>
      <c r="AD259" s="140">
        <f>IF(ISERROR(SQRT(AD94^2-AD63^2+NORMINV(0.5-AD243/200,0,1)*SQRT(2*AD63^4/AD65+2*AD94^4/AD96))),-SQRT(-(AD94^2-AD63^2+NORMINV(0.5-AD243/200,0,1)*SQRT(2*AD63^4/AD65+2*AD94^4/AD96))),SQRT(AD94^2-AD63^2+NORMINV(0.5-AD243/200,0,1)*SQRT(2*AD63^4/AD65+2*AD94^4/AD96)))</f>
        <v>-1.9655500312730299</v>
      </c>
      <c r="AE259" s="140" t="e">
        <f>IF(ISERROR(SQRT(AE94^2-AE63^2+NORMINV(0.5-AE243/200,0,1)*SQRT(2*AE63^4/AE65+2*AE94^4/AE96))),-SQRT(-(AE94^2-AE63^2+NORMINV(0.5-AE243/200,0,1)*SQRT(2*AE63^4/AE65+2*AE94^4/AE96))),SQRT(AE94^2-AE63^2+NORMINV(0.5-AE243/200,0,1)*SQRT(2*AE63^4/AE65+2*AE94^4/AE96)))</f>
        <v>#DIV/0!</v>
      </c>
    </row>
    <row r="260" spans="18:33" x14ac:dyDescent="0.25">
      <c r="R260" s="420"/>
      <c r="S260" s="141" t="s">
        <v>10</v>
      </c>
      <c r="T260" s="141"/>
      <c r="U260" s="159">
        <f>IF(ISERROR(SQRT(U94^2-U63^2+NORMINV(0.5+U243/200,0,1)*SQRT(2*U63^4/U65+2*U94^4/U96))),-SQRT(-(U94^2-U63^2+NORMINV(0.5+U243/200,0,1)*SQRT(2*U63^4/U65+2*U94^4/U96))),SQRT(U94^2-U63^2+NORMINV(0.5+U243/200,0,1)*SQRT(2*U63^4/U65+2*U94^4/U96)))</f>
        <v>4.7094894312282545</v>
      </c>
      <c r="V260" s="159">
        <f>IF(ISERROR(SQRT(V94^2-V63^2+NORMINV(0.5+V243/200,0,1)*SQRT(2*V63^4/V65+2*V94^4/V96))),-SQRT(-(V94^2-V63^2+NORMINV(0.5+V243/200,0,1)*SQRT(2*V63^4/V65+2*V94^4/V96))),SQRT(V94^2-V63^2+NORMINV(0.5+V243/200,0,1)*SQRT(2*V63^4/V65+2*V94^4/V96)))</f>
        <v>5.4089792409356336</v>
      </c>
      <c r="W260" s="113"/>
      <c r="X260" s="113"/>
      <c r="Y260" s="420"/>
      <c r="Z260" s="141" t="s">
        <v>10</v>
      </c>
      <c r="AA260" s="159">
        <f>IF(ISERROR(SQRT(AA94^2-AA63^2+NORMINV(0.5+AA243/200,0,1)*SQRT(2*AA63^4/AA65+2*AA94^4/AA96))),-SQRT(-(AA94^2-AA63^2+NORMINV(0.5+AA243/200,0,1)*SQRT(2*AA63^4/AA65+2*AA94^4/AA96))),SQRT(AA94^2-AA63^2+NORMINV(0.5+AA243/200,0,1)*SQRT(2*AA63^4/AA65+2*AA94^4/AA96)))</f>
        <v>3.4139312735402556</v>
      </c>
      <c r="AB260" s="346">
        <f>IF(ISERROR(SQRT(AB94^2-AB63^2+NORMINV(0.5+AB243/200,0,1)*SQRT(2*AB63^4/AB65+2*AB94^4/AB96))),-SQRT(-(AB94^2-AB63^2+NORMINV(0.5+AB243/200,0,1)*SQRT(2*AB63^4/AB65+2*AB94^4/AB96))),SQRT(AB94^2-AB63^2+NORMINV(0.5+AB243/200,0,1)*SQRT(2*AB63^4/AB65+2*AB94^4/AB96)))</f>
        <v>3.7214870551431476</v>
      </c>
      <c r="AC260" s="159">
        <f>IF(ISERROR(SQRT(AC94^2-AC63^2+NORMINV(0.5+AC243/200,0,1)*SQRT(2*AC63^4/AC65+2*AC94^4/AC96))),-SQRT(-(AC94^2-AC63^2+NORMINV(0.5+AC243/200,0,1)*SQRT(2*AC63^4/AC65+2*AC94^4/AC96))),SQRT(AC94^2-AC63^2+NORMINV(0.5+AC243/200,0,1)*SQRT(2*AC63^4/AC65+2*AC94^4/AC96)))</f>
        <v>5.1681185782816534</v>
      </c>
      <c r="AD260" s="159">
        <f>IF(ISERROR(SQRT(AD94^2-AD63^2+NORMINV(0.5+AD243/200,0,1)*SQRT(2*AD63^4/AD65+2*AD94^4/AD96))),-SQRT(-(AD94^2-AD63^2+NORMINV(0.5+AD243/200,0,1)*SQRT(2*AD63^4/AD65+2*AD94^4/AD96))),SQRT(AD94^2-AD63^2+NORMINV(0.5+AD243/200,0,1)*SQRT(2*AD63^4/AD65+2*AD94^4/AD96)))</f>
        <v>4.3098806325081238</v>
      </c>
      <c r="AE260" s="159" t="e">
        <f>IF(ISERROR(SQRT(AE94^2-AE63^2+NORMINV(0.5+AE243/200,0,1)*SQRT(2*AE63^4/AE65+2*AE94^4/AE96))),-SQRT(-(AE94^2-AE63^2+NORMINV(0.5+AE243/200,0,1)*SQRT(2*AE63^4/AE65+2*AE94^4/AE96))),SQRT(AE94^2-AE63^2+NORMINV(0.5+AE243/200,0,1)*SQRT(2*AE63^4/AE65+2*AE94^4/AE96)))</f>
        <v>#DIV/0!</v>
      </c>
    </row>
    <row r="262" spans="18:33" x14ac:dyDescent="0.25">
      <c r="Y262" s="75" t="s">
        <v>230</v>
      </c>
    </row>
    <row r="263" spans="18:33" ht="13.8" customHeight="1" thickBot="1" x14ac:dyDescent="0.3">
      <c r="Y263" s="459" t="s">
        <v>226</v>
      </c>
      <c r="Z263" s="459"/>
      <c r="AA263" s="459"/>
      <c r="AB263" s="459"/>
      <c r="AC263" s="459"/>
      <c r="AD263" s="459"/>
      <c r="AE263" s="459"/>
      <c r="AF263" s="459"/>
      <c r="AG263" s="350"/>
    </row>
    <row r="264" spans="18:33" ht="13.8" customHeight="1" thickTop="1" x14ac:dyDescent="0.25">
      <c r="Y264" s="373" t="s">
        <v>214</v>
      </c>
      <c r="Z264" s="374"/>
      <c r="AA264" s="377" t="s">
        <v>215</v>
      </c>
      <c r="AB264" s="379" t="s">
        <v>216</v>
      </c>
      <c r="AC264" s="379" t="s">
        <v>217</v>
      </c>
      <c r="AD264" s="379" t="s">
        <v>218</v>
      </c>
      <c r="AE264" s="379" t="s">
        <v>219</v>
      </c>
      <c r="AF264" s="381"/>
      <c r="AG264" s="350"/>
    </row>
    <row r="265" spans="18:33" ht="18.600000000000001" thickBot="1" x14ac:dyDescent="0.3">
      <c r="Y265" s="375"/>
      <c r="Z265" s="376"/>
      <c r="AA265" s="378"/>
      <c r="AB265" s="380"/>
      <c r="AC265" s="380"/>
      <c r="AD265" s="380"/>
      <c r="AE265" s="351" t="s">
        <v>220</v>
      </c>
      <c r="AF265" s="352" t="s">
        <v>221</v>
      </c>
      <c r="AG265" s="350"/>
    </row>
    <row r="266" spans="18:33" ht="13.8" thickTop="1" x14ac:dyDescent="0.25">
      <c r="Y266" s="370" t="s">
        <v>222</v>
      </c>
      <c r="Z266" s="371"/>
      <c r="AA266" s="353">
        <v>8.2002497583503455</v>
      </c>
      <c r="AB266" s="354">
        <v>2.6605123388535756</v>
      </c>
      <c r="AC266" s="355">
        <v>3.0822070014844822</v>
      </c>
      <c r="AD266" s="356">
        <v>2.0547189761318516E-3</v>
      </c>
      <c r="AE266" s="354">
        <v>4.8090695579460263</v>
      </c>
      <c r="AF266" s="357">
        <v>13.982766372804372</v>
      </c>
      <c r="AG266" s="350"/>
    </row>
    <row r="267" spans="18:33" ht="17.399999999999999" thickBot="1" x14ac:dyDescent="0.3">
      <c r="Y267" s="358" t="s">
        <v>223</v>
      </c>
      <c r="Z267" s="359" t="s">
        <v>224</v>
      </c>
      <c r="AA267" s="360">
        <v>5.3823714531200171</v>
      </c>
      <c r="AB267" s="361">
        <v>5.1476279163944172</v>
      </c>
      <c r="AC267" s="369">
        <v>1.0456022736177137</v>
      </c>
      <c r="AD267" s="362">
        <v>0.29574469913131957</v>
      </c>
      <c r="AE267" s="361">
        <v>1.1162926995967346</v>
      </c>
      <c r="AF267" s="363">
        <v>25.951905328975812</v>
      </c>
      <c r="AG267" s="350"/>
    </row>
    <row r="268" spans="18:33" ht="13.8" customHeight="1" thickTop="1" x14ac:dyDescent="0.25">
      <c r="Y268" s="372" t="s">
        <v>225</v>
      </c>
      <c r="Z268" s="372"/>
      <c r="AA268" s="372"/>
      <c r="AB268" s="372"/>
      <c r="AC268" s="372"/>
      <c r="AD268" s="372"/>
      <c r="AE268" s="372"/>
      <c r="AF268" s="372"/>
      <c r="AG268" s="350"/>
    </row>
    <row r="269" spans="18:33" x14ac:dyDescent="0.25">
      <c r="Y269" s="50" t="s">
        <v>228</v>
      </c>
    </row>
    <row r="270" spans="18:33" x14ac:dyDescent="0.25">
      <c r="Y270" t="str">
        <f>Y266</f>
        <v>Residual</v>
      </c>
      <c r="AA270" s="98">
        <f>SQRT(AA266)</f>
        <v>2.8636078220228316</v>
      </c>
      <c r="AB270" s="98"/>
      <c r="AC270" s="98"/>
      <c r="AD270" s="98"/>
      <c r="AE270" s="98">
        <f>SQRT(AE266)</f>
        <v>2.1929590871573565</v>
      </c>
      <c r="AF270" s="98">
        <f>SQRT(AF266)</f>
        <v>3.7393537373193744</v>
      </c>
    </row>
    <row r="271" spans="18:33" x14ac:dyDescent="0.25">
      <c r="Y271" t="str">
        <f>Y267</f>
        <v>xVarExp01 [subject = Name]</v>
      </c>
      <c r="AA271" s="98">
        <f>SQRT(AA267)</f>
        <v>2.3199938476470185</v>
      </c>
      <c r="AB271" s="98"/>
      <c r="AC271" s="98"/>
      <c r="AD271" s="98"/>
      <c r="AE271" s="98">
        <f>SQRT(AE267)</f>
        <v>1.0565475377836695</v>
      </c>
      <c r="AF271" s="98">
        <f>SQRT(AF267)</f>
        <v>5.0943012601313455</v>
      </c>
    </row>
    <row r="272" spans="18:33" x14ac:dyDescent="0.25">
      <c r="AA272" s="98"/>
      <c r="AB272" s="98"/>
      <c r="AC272" s="98"/>
      <c r="AD272" s="98"/>
      <c r="AE272" s="98"/>
      <c r="AF272" s="98"/>
    </row>
    <row r="273" spans="25:32" x14ac:dyDescent="0.25">
      <c r="Y273" s="50" t="s">
        <v>227</v>
      </c>
      <c r="AA273" s="98">
        <f>AA270/SQRT(2)</f>
        <v>2.0248765096111843</v>
      </c>
      <c r="AB273" s="98"/>
      <c r="AC273" s="98"/>
      <c r="AD273" s="98"/>
      <c r="AE273" s="98">
        <f>AE270/SQRT(2)</f>
        <v>1.5506562413936278</v>
      </c>
      <c r="AF273" s="98">
        <f>AF270/SQRT(2)</f>
        <v>2.6441223849137896</v>
      </c>
    </row>
    <row r="275" spans="25:32" x14ac:dyDescent="0.25">
      <c r="Y275" s="75" t="s">
        <v>229</v>
      </c>
    </row>
    <row r="276" spans="25:32" x14ac:dyDescent="0.25">
      <c r="Y276" t="str">
        <f>Y271</f>
        <v>xVarExp01 [subject = Name]</v>
      </c>
      <c r="AA276" s="364">
        <f>AA267</f>
        <v>5.3823714531200171</v>
      </c>
      <c r="AB276" s="364"/>
      <c r="AC276" s="364"/>
      <c r="AD276" s="364"/>
      <c r="AE276" s="364">
        <f>AA276-1.65*AB267</f>
        <v>-3.1112146089307711</v>
      </c>
      <c r="AF276" s="364">
        <f>AA267+1.65*AB267</f>
        <v>13.875957515170805</v>
      </c>
    </row>
    <row r="277" spans="25:32" x14ac:dyDescent="0.25">
      <c r="Y277" s="50" t="s">
        <v>228</v>
      </c>
      <c r="AA277" s="364">
        <f>SQRT(AA276)</f>
        <v>2.3199938476470185</v>
      </c>
      <c r="AB277" s="364"/>
      <c r="AC277" s="364"/>
      <c r="AD277" s="364"/>
      <c r="AE277" s="364">
        <f>-SQRT(-AE276)</f>
        <v>-1.7638635460065415</v>
      </c>
      <c r="AF277" s="364">
        <f>SQRT(AF276)</f>
        <v>3.7250446326414406</v>
      </c>
    </row>
  </sheetData>
  <mergeCells count="181">
    <mergeCell ref="I192:J192"/>
    <mergeCell ref="I193:J193"/>
    <mergeCell ref="I194:J194"/>
    <mergeCell ref="B192:C192"/>
    <mergeCell ref="B193:C193"/>
    <mergeCell ref="Y263:AF263"/>
    <mergeCell ref="C185:C186"/>
    <mergeCell ref="B191:C191"/>
    <mergeCell ref="I191:J191"/>
    <mergeCell ref="B183:B184"/>
    <mergeCell ref="I185:I190"/>
    <mergeCell ref="B185:B190"/>
    <mergeCell ref="C187:C188"/>
    <mergeCell ref="C189:C190"/>
    <mergeCell ref="J189:J190"/>
    <mergeCell ref="I183:I184"/>
    <mergeCell ref="B180:B182"/>
    <mergeCell ref="R176:S176"/>
    <mergeCell ref="I176:J176"/>
    <mergeCell ref="I151:J151"/>
    <mergeCell ref="S162:S163"/>
    <mergeCell ref="R167:S167"/>
    <mergeCell ref="R171:S171"/>
    <mergeCell ref="R169:S169"/>
    <mergeCell ref="R180:R182"/>
    <mergeCell ref="I180:I182"/>
    <mergeCell ref="Z137:Z138"/>
    <mergeCell ref="R40:S40"/>
    <mergeCell ref="R135:R140"/>
    <mergeCell ref="S135:S136"/>
    <mergeCell ref="S137:S138"/>
    <mergeCell ref="S139:S140"/>
    <mergeCell ref="Y130:Y131"/>
    <mergeCell ref="R166:S166"/>
    <mergeCell ref="B215:C215"/>
    <mergeCell ref="S213:S214"/>
    <mergeCell ref="R215:S215"/>
    <mergeCell ref="Y126:Z126"/>
    <mergeCell ref="Z135:Z136"/>
    <mergeCell ref="B204:B206"/>
    <mergeCell ref="B201:C201"/>
    <mergeCell ref="R207:R208"/>
    <mergeCell ref="Y197:Y198"/>
    <mergeCell ref="S209:S210"/>
    <mergeCell ref="R201:S201"/>
    <mergeCell ref="R204:R206"/>
    <mergeCell ref="B196:C196"/>
    <mergeCell ref="R196:S196"/>
    <mergeCell ref="I196:J196"/>
    <mergeCell ref="Y196:Z196"/>
    <mergeCell ref="B40:C40"/>
    <mergeCell ref="B146:C146"/>
    <mergeCell ref="S164:S165"/>
    <mergeCell ref="B126:C126"/>
    <mergeCell ref="R130:R131"/>
    <mergeCell ref="B130:B132"/>
    <mergeCell ref="R158:R159"/>
    <mergeCell ref="B176:C176"/>
    <mergeCell ref="R155:R157"/>
    <mergeCell ref="B151:C151"/>
    <mergeCell ref="R160:R165"/>
    <mergeCell ref="B133:B134"/>
    <mergeCell ref="B135:B140"/>
    <mergeCell ref="C135:C136"/>
    <mergeCell ref="C137:C138"/>
    <mergeCell ref="C139:C140"/>
    <mergeCell ref="R146:S146"/>
    <mergeCell ref="B143:C143"/>
    <mergeCell ref="I135:I140"/>
    <mergeCell ref="R133:R134"/>
    <mergeCell ref="B147:B148"/>
    <mergeCell ref="I141:J141"/>
    <mergeCell ref="R142:S142"/>
    <mergeCell ref="I147:I148"/>
    <mergeCell ref="I142:J142"/>
    <mergeCell ref="I143:J143"/>
    <mergeCell ref="I144:J144"/>
    <mergeCell ref="R144:S144"/>
    <mergeCell ref="R143:S143"/>
    <mergeCell ref="B141:C141"/>
    <mergeCell ref="R141:S141"/>
    <mergeCell ref="B144:C144"/>
    <mergeCell ref="B142:C142"/>
    <mergeCell ref="R147:R148"/>
    <mergeCell ref="Y135:Y140"/>
    <mergeCell ref="Y155:Y157"/>
    <mergeCell ref="Y158:Y159"/>
    <mergeCell ref="Z139:Z140"/>
    <mergeCell ref="Z162:Z163"/>
    <mergeCell ref="S160:S161"/>
    <mergeCell ref="Y151:Z151"/>
    <mergeCell ref="I126:J126"/>
    <mergeCell ref="Z160:Z161"/>
    <mergeCell ref="I146:J146"/>
    <mergeCell ref="R151:S151"/>
    <mergeCell ref="Y143:Z143"/>
    <mergeCell ref="I130:I132"/>
    <mergeCell ref="I133:I134"/>
    <mergeCell ref="J135:J136"/>
    <mergeCell ref="J137:J138"/>
    <mergeCell ref="J139:J140"/>
    <mergeCell ref="Y142:Z142"/>
    <mergeCell ref="Y147:Y148"/>
    <mergeCell ref="Y141:Z141"/>
    <mergeCell ref="Y146:Z146"/>
    <mergeCell ref="Y144:Z144"/>
    <mergeCell ref="R126:S126"/>
    <mergeCell ref="Y133:Y134"/>
    <mergeCell ref="R259:R260"/>
    <mergeCell ref="R251:R256"/>
    <mergeCell ref="R249:R250"/>
    <mergeCell ref="R246:R248"/>
    <mergeCell ref="Y251:Y256"/>
    <mergeCell ref="J185:J186"/>
    <mergeCell ref="J187:J188"/>
    <mergeCell ref="S185:S186"/>
    <mergeCell ref="R185:R190"/>
    <mergeCell ref="R192:S192"/>
    <mergeCell ref="Y192:Z192"/>
    <mergeCell ref="S189:S190"/>
    <mergeCell ref="Y185:Y190"/>
    <mergeCell ref="Z185:Z186"/>
    <mergeCell ref="Z187:Z188"/>
    <mergeCell ref="Z189:Z190"/>
    <mergeCell ref="Y259:Y260"/>
    <mergeCell ref="S253:S254"/>
    <mergeCell ref="Y237:Y239"/>
    <mergeCell ref="S255:S256"/>
    <mergeCell ref="Y246:Y248"/>
    <mergeCell ref="Z251:Z252"/>
    <mergeCell ref="S211:S212"/>
    <mergeCell ref="R209:R214"/>
    <mergeCell ref="B197:B198"/>
    <mergeCell ref="I217:J217"/>
    <mergeCell ref="C209:C210"/>
    <mergeCell ref="S251:S252"/>
    <mergeCell ref="Y217:Z217"/>
    <mergeCell ref="R193:S193"/>
    <mergeCell ref="R242:S242"/>
    <mergeCell ref="Y193:Z193"/>
    <mergeCell ref="Y194:Z194"/>
    <mergeCell ref="C211:C212"/>
    <mergeCell ref="Y249:Y250"/>
    <mergeCell ref="Y227:Y229"/>
    <mergeCell ref="Y222:Y223"/>
    <mergeCell ref="B207:B208"/>
    <mergeCell ref="I227:I229"/>
    <mergeCell ref="I222:I224"/>
    <mergeCell ref="B209:B214"/>
    <mergeCell ref="C213:C214"/>
    <mergeCell ref="I197:I198"/>
    <mergeCell ref="B194:C194"/>
    <mergeCell ref="Y160:Y165"/>
    <mergeCell ref="Y172:Y173"/>
    <mergeCell ref="Y183:Y184"/>
    <mergeCell ref="Z164:Z165"/>
    <mergeCell ref="Y171:Z171"/>
    <mergeCell ref="Y166:Z166"/>
    <mergeCell ref="Y168:Z168"/>
    <mergeCell ref="Y169:Z169"/>
    <mergeCell ref="Y167:Z167"/>
    <mergeCell ref="Y180:Y182"/>
    <mergeCell ref="R183:R184"/>
    <mergeCell ref="R168:S168"/>
    <mergeCell ref="S187:S188"/>
    <mergeCell ref="R191:S191"/>
    <mergeCell ref="Z255:Z256"/>
    <mergeCell ref="R172:R173"/>
    <mergeCell ref="R197:R198"/>
    <mergeCell ref="R194:S194"/>
    <mergeCell ref="Y176:Z176"/>
    <mergeCell ref="Z253:Z254"/>
    <mergeCell ref="Y266:Z266"/>
    <mergeCell ref="Y268:AF268"/>
    <mergeCell ref="Y264:Z265"/>
    <mergeCell ref="AA264:AA265"/>
    <mergeCell ref="AB264:AB265"/>
    <mergeCell ref="AC264:AC265"/>
    <mergeCell ref="AD264:AD265"/>
    <mergeCell ref="AE264:AF264"/>
    <mergeCell ref="Y191:Z191"/>
  </mergeCells>
  <phoneticPr fontId="0" type="noConversion"/>
  <pageMargins left="0.75" right="0.75" top="1" bottom="1" header="0.5" footer="0.5"/>
  <pageSetup paperSize="9" orientation="portrait" horizontalDpi="300" verticalDpi="300" r:id="rId1"/>
  <headerFooter alignWithMargins="0"/>
  <ignoredErrors>
    <ignoredError sqref="D30" 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 1</vt:lpstr>
      <vt:lpstr>'Sheet 1'!allraw</vt:lpstr>
    </vt:vector>
  </TitlesOfParts>
  <Company>A New View of Statistics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Analysis of controlled trials</dc:title>
  <dc:creator>Will Hopkins</dc:creator>
  <cp:lastModifiedBy>Will Hopkins</cp:lastModifiedBy>
  <dcterms:created xsi:type="dcterms:W3CDTF">2003-10-13T20:09:38Z</dcterms:created>
  <dcterms:modified xsi:type="dcterms:W3CDTF">2016-03-05T05:46:36Z</dcterms:modified>
</cp:coreProperties>
</file>